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Kesk tn 20/"/>
    </mc:Choice>
  </mc:AlternateContent>
  <xr:revisionPtr revIDLastSave="70" documentId="8_{B9A8F899-FDE3-46E6-AF38-43AC13D825C0}" xr6:coauthVersionLast="47" xr6:coauthVersionMax="47" xr10:uidLastSave="{431CC7BF-F990-4B6B-BAEC-B242CE84C9E3}"/>
  <workbookProtection workbookAlgorithmName="SHA-512" workbookHashValue="YPfh8LWQh91rqdd2sj2f6tozi7qknQ08DykHr5f3h/A29Jd7RtoYznEbRoCusiSHZ6aNXl7N4Goz1RJwGNQIyQ==" workbookSaltValue="fFWMJqAnjIahdsOVR3cLDw==" workbookSpinCount="100000" lockStructure="1"/>
  <bookViews>
    <workbookView xWindow="-38520" yWindow="-120" windowWidth="38640" windowHeight="212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P3" i="1"/>
  <c r="O3" i="1"/>
  <c r="AW13" i="11" l="1"/>
  <c r="AD2" i="11"/>
  <c r="Q3" i="1"/>
  <c r="AW14" i="11" l="1"/>
  <c r="AE2" i="11"/>
  <c r="R3" i="1"/>
  <c r="AW15" i="11" l="1"/>
  <c r="AF2" i="11"/>
  <c r="D120" i="3"/>
  <c r="D73" i="3"/>
  <c r="S3" i="1"/>
  <c r="AW16" i="11" l="1"/>
  <c r="AG2" i="11"/>
  <c r="T3"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6" i="11" l="1"/>
  <c r="AZ10" i="11"/>
  <c r="AZ7" i="11"/>
  <c r="AZ8" i="11"/>
  <c r="AZ9"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11" i="11" l="1"/>
  <c r="AZ12" i="11" s="1"/>
  <c r="AZ13"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AZ14" i="11" l="1"/>
  <c r="AZ15"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AY10" i="11" l="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AY11" i="11" l="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Y12" i="11" l="1"/>
  <c r="AY15"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Y13" i="11" l="1"/>
  <c r="AY14" i="11" s="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E151" i="4"/>
  <c r="E148" i="4"/>
  <c r="E145" i="4"/>
  <c r="E154" i="4"/>
  <c r="E153" i="4"/>
  <c r="E147" i="4"/>
  <c r="E149" i="4"/>
  <c r="E152" i="4"/>
  <c r="G6" i="4"/>
  <c r="G14" i="4"/>
  <c r="F14" i="4"/>
  <c r="G32" i="4"/>
  <c r="F32" i="4"/>
  <c r="G5" i="4"/>
  <c r="F5" i="4"/>
  <c r="G41" i="4"/>
  <c r="D41" i="4"/>
  <c r="F41" i="4"/>
  <c r="G23" i="4"/>
  <c r="F23" i="4"/>
  <c r="C51" i="4"/>
  <c r="C42" i="4"/>
  <c r="C24" i="4"/>
  <c r="C15" i="4"/>
  <c r="C33" i="4"/>
  <c r="BA4" i="11" l="1"/>
  <c r="BA7" i="11"/>
  <c r="BA3" i="11"/>
  <c r="BA10" i="11"/>
  <c r="BA8" i="11"/>
  <c r="BA9" i="11"/>
  <c r="BA5" i="11"/>
  <c r="BA6"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11" i="11"/>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C30" i="4" l="1"/>
  <c r="F20" i="4"/>
  <c r="G20" i="4"/>
  <c r="AZ34" i="11"/>
  <c r="BA34" i="11"/>
  <c r="BC5" i="11"/>
  <c r="I38" i="4"/>
  <c r="BC9" i="1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10" i="11"/>
  <c r="BB6" i="11"/>
  <c r="C40" i="4" l="1"/>
  <c r="G30" i="4"/>
  <c r="F30" i="4"/>
  <c r="BC6" i="11"/>
  <c r="BB15" i="1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2" i="11"/>
  <c r="C50" i="4" l="1"/>
  <c r="G40" i="4"/>
  <c r="F40" i="4"/>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13" i="11"/>
  <c r="BB14" i="11" l="1"/>
  <c r="C60" i="4"/>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F60" i="4" l="1"/>
  <c r="G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A11" i="11" s="1"/>
  <c r="BA12" i="11" s="1"/>
  <c r="BC12" i="11" s="1"/>
  <c r="BC47" i="11"/>
  <c r="AY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A13" i="11" l="1"/>
  <c r="BC11" i="11"/>
  <c r="BA15" i="11"/>
  <c r="BC15" i="11" s="1"/>
  <c r="AZ48" i="11"/>
  <c r="BA48" i="11"/>
  <c r="AY48" i="11"/>
  <c r="BB48" i="11"/>
  <c r="BC48"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C13" i="11" l="1"/>
  <c r="BA14" i="11"/>
  <c r="BC14" i="11" s="1"/>
  <c r="BD32" i="11" s="1"/>
  <c r="BD16" i="11"/>
  <c r="BD19" i="11"/>
  <c r="BD7" i="11"/>
  <c r="BD48" i="11"/>
  <c r="BD21" i="11"/>
  <c r="BD12" i="11"/>
  <c r="BD34" i="11"/>
  <c r="BD38" i="11"/>
  <c r="BD15" i="11"/>
  <c r="BD13" i="11"/>
  <c r="BD39" i="11"/>
  <c r="BD25" i="11"/>
  <c r="BD18" i="11"/>
  <c r="BD17" i="11"/>
  <c r="BD44" i="11"/>
  <c r="BD43" i="11"/>
  <c r="BD37" i="11"/>
  <c r="BD35" i="11"/>
  <c r="BD41" i="11"/>
  <c r="BD28" i="11"/>
  <c r="BD20" i="11"/>
  <c r="BD46" i="11"/>
  <c r="BD27" i="11"/>
  <c r="BD5" i="11"/>
  <c r="BD11" i="11"/>
  <c r="BD45" i="11"/>
  <c r="BD47" i="11"/>
  <c r="BD23" i="11"/>
  <c r="BD6" i="11"/>
  <c r="BD22" i="11"/>
  <c r="BD4" i="11"/>
  <c r="BD3" i="11"/>
  <c r="BD31" i="11"/>
  <c r="BD30" i="11"/>
  <c r="BD8"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BD14" i="11" l="1"/>
  <c r="BD24" i="11"/>
  <c r="BD42" i="11"/>
  <c r="BD29" i="11"/>
  <c r="BD10" i="11"/>
  <c r="BD33" i="11"/>
  <c r="BD36" i="11"/>
  <c r="BD26" i="11"/>
  <c r="BD9" i="11"/>
  <c r="BD40" i="1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<sst xmlns="http://schemas.openxmlformats.org/spreadsheetml/2006/main" count="1779" uniqueCount="399">
  <si>
    <t>=SUMPRODUCT(--($A:$A=$A3)*($G:$G=Tabelid!$L$1)*($C:$C=Tabelid!$j$4)*($H:$H=J$2);($E:$E))/SUMPRODUCT(--($A:$A=$A3)*($G:$G=Tabelid!$L$1)*($C:$C=Tabelid!$j$4);($E:$E))*$E3</t>
  </si>
  <si>
    <t>NB! Lisa üürnike nimikiri siia</t>
  </si>
  <si>
    <t>Üürnik</t>
  </si>
  <si>
    <t>Üürikood</t>
  </si>
  <si>
    <t>Ainukasutuses pind</t>
  </si>
  <si>
    <t>Ühiskasutuses korruste pind</t>
  </si>
  <si>
    <t>Ühiskasutuses hoone pind</t>
  </si>
  <si>
    <t>Ühiskasutuses muu pind</t>
  </si>
  <si>
    <t>Kokku</t>
  </si>
  <si>
    <t>Osakaal</t>
  </si>
  <si>
    <t>Maa- ja Ruumiamet</t>
  </si>
  <si>
    <t>KESK20POLVA_20</t>
  </si>
  <si>
    <t>Muinsuskaitseamet</t>
  </si>
  <si>
    <t>KESK20POLVA_17</t>
  </si>
  <si>
    <t>Eesti Rahvakultuuri Keskus</t>
  </si>
  <si>
    <t>KESK20POLVA_18</t>
  </si>
  <si>
    <t>Rahandusministeerium</t>
  </si>
  <si>
    <t>KESK20POLVA_19</t>
  </si>
  <si>
    <t>Põlvamaa Arenduskeskus SA</t>
  </si>
  <si>
    <t>KESK20POLVA_15</t>
  </si>
  <si>
    <t>Põlvamaa Maakonna Spordiliit</t>
  </si>
  <si>
    <t>KESK20POLVA_14</t>
  </si>
  <si>
    <t>MTÜ Kagu Ühistranspordikeskus</t>
  </si>
  <si>
    <t>KESK20POLVA_13</t>
  </si>
  <si>
    <t>Tallinna Vangla</t>
  </si>
  <si>
    <t>KESK20POLVA_16</t>
  </si>
  <si>
    <t>Hoone nimetus:</t>
  </si>
  <si>
    <t>Administratiivhoone</t>
  </si>
  <si>
    <t>Aadress:</t>
  </si>
  <si>
    <t>Põlva maakond, Põlva vald, Põlva linn, Kesk tn 20</t>
  </si>
  <si>
    <t>Korruselisus:</t>
  </si>
  <si>
    <t>04</t>
  </si>
  <si>
    <t>Lisakorrused:</t>
  </si>
  <si>
    <t>00</t>
  </si>
  <si>
    <t>Töö number:</t>
  </si>
  <si>
    <t>21M5114</t>
  </si>
  <si>
    <t>Mõõdistaja:</t>
  </si>
  <si>
    <t>Geo S.T.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</si>
  <si>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</si>
  <si>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</si>
  <si>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</si>
  <si>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</si>
  <si>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</si>
  <si>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</si>
  <si>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</si>
  <si>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</si>
  <si>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</si>
  <si>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</si>
  <si>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</si>
  <si>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</si>
  <si>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</si>
  <si>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</si>
  <si>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</si>
  <si>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</si>
  <si>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</si>
  <si>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</si>
  <si>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</si>
  <si>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</si>
  <si>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</si>
  <si>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</si>
  <si>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</si>
  <si>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</si>
  <si>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</si>
  <si>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</si>
  <si>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</si>
  <si>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</si>
  <si>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</si>
  <si>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</si>
  <si>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</si>
  <si>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001</t>
  </si>
  <si>
    <t>VERTIKAALSETE ÜHENDUSTEEDE PIND</t>
  </si>
  <si>
    <t>Trepp/Trepikoda</t>
  </si>
  <si>
    <t>92 Vertikaalliiklusruumid</t>
  </si>
  <si>
    <t>002</t>
  </si>
  <si>
    <t>ÜÜRITAV PIND</t>
  </si>
  <si>
    <t>Abiruum</t>
  </si>
  <si>
    <t>23 Äriruumide abiruumid</t>
  </si>
  <si>
    <t>Aktiivne vakantsus</t>
  </si>
  <si>
    <t>003</t>
  </si>
  <si>
    <t>Garaaž</t>
  </si>
  <si>
    <t>55 Garaažid</t>
  </si>
  <si>
    <t>004</t>
  </si>
  <si>
    <t>005</t>
  </si>
  <si>
    <t>005A</t>
  </si>
  <si>
    <t>006</t>
  </si>
  <si>
    <t>Puhkeruum</t>
  </si>
  <si>
    <t>75 Puhketoad</t>
  </si>
  <si>
    <t>007</t>
  </si>
  <si>
    <t>Eesruum</t>
  </si>
  <si>
    <t>91 Horisontaalliiklusruumid</t>
  </si>
  <si>
    <t>008</t>
  </si>
  <si>
    <t>009</t>
  </si>
  <si>
    <t>Koridor</t>
  </si>
  <si>
    <t>Ühiskasutuses korruse pind</t>
  </si>
  <si>
    <t>010</t>
  </si>
  <si>
    <t>Nõupidamise ruum</t>
  </si>
  <si>
    <t>21 Bürooruumid</t>
  </si>
  <si>
    <t>011</t>
  </si>
  <si>
    <t>Kabinet/Büroo</t>
  </si>
  <si>
    <t>012</t>
  </si>
  <si>
    <t>013</t>
  </si>
  <si>
    <t>014</t>
  </si>
  <si>
    <t>015</t>
  </si>
  <si>
    <t>016</t>
  </si>
  <si>
    <t>TEHNOPIND</t>
  </si>
  <si>
    <t>Hoolderuum</t>
  </si>
  <si>
    <t>99 Liigitamata liiklus- ja tehnoruumid</t>
  </si>
  <si>
    <t>017</t>
  </si>
  <si>
    <t>WC</t>
  </si>
  <si>
    <t>73 WC-ruumid</t>
  </si>
  <si>
    <t>018</t>
  </si>
  <si>
    <t>Arhiiv</t>
  </si>
  <si>
    <t>53 Arhiivid</t>
  </si>
  <si>
    <t>019</t>
  </si>
  <si>
    <t>Ühiskasutuses muu pind (muu)</t>
  </si>
  <si>
    <t>020</t>
  </si>
  <si>
    <t>021</t>
  </si>
  <si>
    <t>PASSIIVNE VAKANTSUS</t>
  </si>
  <si>
    <t>022</t>
  </si>
  <si>
    <t>023</t>
  </si>
  <si>
    <t>Soojasõlm</t>
  </si>
  <si>
    <t>94 Kütte- ja veehooldusruumid</t>
  </si>
  <si>
    <t>024</t>
  </si>
  <si>
    <t>025</t>
  </si>
  <si>
    <t>Vent ruum</t>
  </si>
  <si>
    <t>96 Ventilatsiooniruumid</t>
  </si>
  <si>
    <t>01</t>
  </si>
  <si>
    <t>101</t>
  </si>
  <si>
    <t>102</t>
  </si>
  <si>
    <t>103</t>
  </si>
  <si>
    <t>104</t>
  </si>
  <si>
    <t>105</t>
  </si>
  <si>
    <t>106</t>
  </si>
  <si>
    <t>107</t>
  </si>
  <si>
    <t>108</t>
  </si>
  <si>
    <t>Aatrium/Fuajee</t>
  </si>
  <si>
    <t>109</t>
  </si>
  <si>
    <t>110</t>
  </si>
  <si>
    <t>111</t>
  </si>
  <si>
    <t>112</t>
  </si>
  <si>
    <t>113</t>
  </si>
  <si>
    <t>116</t>
  </si>
  <si>
    <t>117</t>
  </si>
  <si>
    <t>118</t>
  </si>
  <si>
    <t>119</t>
  </si>
  <si>
    <t>Tuulekoda</t>
  </si>
  <si>
    <t>83 Sissepääsuruumid</t>
  </si>
  <si>
    <t>120</t>
  </si>
  <si>
    <t>121</t>
  </si>
  <si>
    <t>122</t>
  </si>
  <si>
    <t>123</t>
  </si>
  <si>
    <t>124</t>
  </si>
  <si>
    <t>Ooteruum/Teenindusruum</t>
  </si>
  <si>
    <t>84 Avalikud teenindusruumid</t>
  </si>
  <si>
    <t>125</t>
  </si>
  <si>
    <t>126</t>
  </si>
  <si>
    <t>127</t>
  </si>
  <si>
    <t>KORRUSE AVATUD NETOPIND</t>
  </si>
  <si>
    <t>Varjualune</t>
  </si>
  <si>
    <t>98 Välisruumid</t>
  </si>
  <si>
    <t>128</t>
  </si>
  <si>
    <t>129</t>
  </si>
  <si>
    <t>130</t>
  </si>
  <si>
    <t>131</t>
  </si>
  <si>
    <t>132</t>
  </si>
  <si>
    <t>133</t>
  </si>
  <si>
    <t>02</t>
  </si>
  <si>
    <t>201</t>
  </si>
  <si>
    <t>202</t>
  </si>
  <si>
    <t>203</t>
  </si>
  <si>
    <t>204</t>
  </si>
  <si>
    <t>205</t>
  </si>
  <si>
    <t>206</t>
  </si>
  <si>
    <t>207</t>
  </si>
  <si>
    <t>208</t>
  </si>
  <si>
    <t>209</t>
  </si>
  <si>
    <t>210</t>
  </si>
  <si>
    <t>Pesuruum</t>
  </si>
  <si>
    <t>72 Pesuruumid</t>
  </si>
  <si>
    <t>211</t>
  </si>
  <si>
    <t>212</t>
  </si>
  <si>
    <t>213</t>
  </si>
  <si>
    <t>214</t>
  </si>
  <si>
    <t>215</t>
  </si>
  <si>
    <t>216</t>
  </si>
  <si>
    <t>217</t>
  </si>
  <si>
    <t>218</t>
  </si>
  <si>
    <t>219</t>
  </si>
  <si>
    <t>220</t>
  </si>
  <si>
    <t>221</t>
  </si>
  <si>
    <t>222</t>
  </si>
  <si>
    <t>223</t>
  </si>
  <si>
    <t>224</t>
  </si>
  <si>
    <t>225</t>
  </si>
  <si>
    <t>226</t>
  </si>
  <si>
    <t>Elektrikilp</t>
  </si>
  <si>
    <t>97 Elektrotehnilised ruumid</t>
  </si>
  <si>
    <t>227</t>
  </si>
  <si>
    <t>228</t>
  </si>
  <si>
    <t>229</t>
  </si>
  <si>
    <t>230</t>
  </si>
  <si>
    <t>231</t>
  </si>
  <si>
    <t>232</t>
  </si>
  <si>
    <t>03</t>
  </si>
  <si>
    <t>301</t>
  </si>
  <si>
    <t>302</t>
  </si>
  <si>
    <t>303</t>
  </si>
  <si>
    <t>304</t>
  </si>
  <si>
    <t>305</t>
  </si>
  <si>
    <t>306</t>
  </si>
  <si>
    <t>307</t>
  </si>
  <si>
    <t>308</t>
  </si>
  <si>
    <t>309</t>
  </si>
  <si>
    <t>310</t>
  </si>
  <si>
    <t>311</t>
  </si>
  <si>
    <t>Kööginurk/Köök</t>
  </si>
  <si>
    <t>64 Köögiruumid</t>
  </si>
  <si>
    <t>312</t>
  </si>
  <si>
    <t>313</t>
  </si>
  <si>
    <t>Saal</t>
  </si>
  <si>
    <t>34 Auditooriumid</t>
  </si>
  <si>
    <t>314</t>
  </si>
  <si>
    <t>315</t>
  </si>
  <si>
    <t>316</t>
  </si>
  <si>
    <t>317</t>
  </si>
  <si>
    <t>318</t>
  </si>
  <si>
    <t>319</t>
  </si>
  <si>
    <t>320</t>
  </si>
  <si>
    <t>321</t>
  </si>
  <si>
    <t>322</t>
  </si>
  <si>
    <t>323</t>
  </si>
  <si>
    <t>324</t>
  </si>
  <si>
    <t>401</t>
  </si>
  <si>
    <t>402</t>
  </si>
  <si>
    <t>403</t>
  </si>
  <si>
    <t>404</t>
  </si>
  <si>
    <t>405</t>
  </si>
  <si>
    <t>406</t>
  </si>
  <si>
    <t>407</t>
  </si>
  <si>
    <t>408</t>
  </si>
  <si>
    <t>409</t>
  </si>
  <si>
    <t>410</t>
  </si>
  <si>
    <t>411</t>
  </si>
  <si>
    <t>412</t>
  </si>
  <si>
    <t>413</t>
  </si>
  <si>
    <t>414</t>
  </si>
  <si>
    <t>415</t>
  </si>
  <si>
    <t>416</t>
  </si>
  <si>
    <t>TALO tüüpruumide nimestiku vasted</t>
  </si>
  <si>
    <t>Ruumi kategooria</t>
  </si>
  <si>
    <t>Abiveerg</t>
  </si>
  <si>
    <t>Rõdu</t>
  </si>
  <si>
    <t>Terrass</t>
  </si>
  <si>
    <t>Alajaam/Trafo/Jaotla</t>
  </si>
  <si>
    <t>Basseini tehniline ruum</t>
  </si>
  <si>
    <t>Boileriruum</t>
  </si>
  <si>
    <t>Gaasiruum</t>
  </si>
  <si>
    <t>Generaatoriruum</t>
  </si>
  <si>
    <t>Jahutusruum</t>
  </si>
  <si>
    <t>Katlaruum</t>
  </si>
  <si>
    <t>Kütusehoidla</t>
  </si>
  <si>
    <t>Lifti masinaruum</t>
  </si>
  <si>
    <t>Pumpla</t>
  </si>
  <si>
    <t>Samarõhukamber</t>
  </si>
  <si>
    <t>Sideruum/Nõrkvool</t>
  </si>
  <si>
    <t>Sprinkler/Tuletõrje pump</t>
  </si>
  <si>
    <t>UPS-ruum</t>
  </si>
  <si>
    <t>Veemõõdusõlm</t>
  </si>
  <si>
    <t>Õhuvõtukamber</t>
  </si>
  <si>
    <t>Lift</t>
  </si>
  <si>
    <t>Šaht</t>
  </si>
  <si>
    <t>Auditoorium</t>
  </si>
  <si>
    <t>Autopesula</t>
  </si>
  <si>
    <t>85 Pesumaja</t>
  </si>
  <si>
    <t>Desokamber</t>
  </si>
  <si>
    <t>49 Ruumigrupi liigitamata eriruumid</t>
  </si>
  <si>
    <t>Dokumendihoidla</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</si>
  <si>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</si>
  <si>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</si>
  <si>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</si>
  <si>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</si>
  <si>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</si>
  <si>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</si>
  <si>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</si>
  <si>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</si>
  <si>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</si>
  <si>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</si>
  <si>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Eriotstarbeline ruum</t>
  </si>
  <si>
    <t>Garderoob</t>
  </si>
  <si>
    <t>51 Garderoobiruumid</t>
  </si>
  <si>
    <t>Hoiuruum/Ladu</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</si>
  <si>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</si>
  <si>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</si>
  <si>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</si>
  <si>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</si>
  <si>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</si>
  <si>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</si>
  <si>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</si>
  <si>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</si>
  <si>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</si>
  <si>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</si>
  <si>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</si>
  <si>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</si>
  <si>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</si>
  <si>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</si>
  <si>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</si>
  <si>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Koristus- ja hooldusruum</t>
  </si>
  <si>
    <t>86 Koristus- ja hooldusruumid</t>
  </si>
  <si>
    <t>Köögi abiruum</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</si>
  <si>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</si>
  <si>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</si>
  <si>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</si>
  <si>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</si>
  <si>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</si>
  <si>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</si>
  <si>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</si>
  <si>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</si>
  <si>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</si>
  <si>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</si>
  <si>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</si>
  <si>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</si>
  <si>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</si>
  <si>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</si>
  <si>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</si>
  <si>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</si>
  <si>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</si>
  <si>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</si>
  <si>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</si>
  <si>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</si>
  <si>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</si>
  <si>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</si>
  <si>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</si>
  <si>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</si>
  <si>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Riietusruum</t>
  </si>
  <si>
    <t>71 Riietusruumid</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</si>
  <si>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</si>
  <si>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</si>
  <si>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</si>
  <si>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</si>
  <si>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</si>
  <si>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</si>
  <si>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</si>
  <si>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</si>
  <si>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</si>
  <si>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</si>
  <si>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</si>
  <si>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</si>
  <si>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</si>
  <si>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</si>
  <si>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</si>
  <si>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</si>
  <si>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</si>
  <si>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</si>
  <si>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</si>
  <si>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</si>
  <si>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</si>
  <si>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</si>
  <si>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</si>
  <si>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</si>
  <si>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</si>
  <si>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</si>
  <si>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</si>
  <si>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</si>
  <si>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</si>
  <si>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</si>
  <si>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</si>
  <si>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</si>
  <si>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</si>
  <si>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</si>
  <si>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</si>
  <si>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</si>
  <si>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</si>
  <si>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</si>
  <si>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</si>
  <si>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</si>
  <si>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Korruse suletud netopind (KSNP):</t>
  </si>
  <si>
    <t>SULETUD NETOPIND</t>
  </si>
  <si>
    <t>MUU_OTHER</t>
  </si>
  <si>
    <t>Korruse kasulik pind (KKP):</t>
  </si>
  <si>
    <t>Korruse brutopind (KBP):</t>
  </si>
  <si>
    <t>Korruse avatud netopind (KANP):</t>
  </si>
  <si>
    <t>Korruse passiivne vakantsus (KPV):</t>
  </si>
  <si>
    <t>05</t>
  </si>
  <si>
    <t>06</t>
  </si>
  <si>
    <t>07</t>
  </si>
  <si>
    <t>08</t>
  </si>
  <si>
    <t>09</t>
  </si>
  <si>
    <t>10</t>
  </si>
  <si>
    <t>11</t>
  </si>
  <si>
    <t>12</t>
  </si>
  <si>
    <t>13</t>
  </si>
  <si>
    <t>14</t>
  </si>
  <si>
    <t>15</t>
  </si>
  <si>
    <t>16</t>
  </si>
  <si>
    <t>17</t>
  </si>
  <si>
    <t>18</t>
  </si>
  <si>
    <t>19</t>
  </si>
  <si>
    <t>20</t>
  </si>
  <si>
    <t>Põlva Maakonna Spordiliit 10%, aktiivne vakantsus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</si>
</sst>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6" fillId="0" borderId="0" xfId="0" applyFont="1" applyAlignment="1" applyProtection="1">
      <alignment horizontal="right"/>
      <protection hidden="1"/>
    </xf>
    <xf numFmtId="164" fontId="5" fillId="0" borderId="0" xfId="0" applyNumberFormat="1" applyFont="1" applyAlignment="1" applyProtection="1">
      <alignment vertical="top" wrapText="1"/>
      <protection hidden="1"/>
    </xf>
  </cellXfs>
  <cellStyles count="1">
    <cellStyle name="Normal"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0" zoomScaleNormal="80" workbookViewId="0">
      <pane ySplit="2" topLeftCell="A3" activePane="bottomLeft" state="frozen"/>
      <selection activeCell="G1" sqref="G1"/>
      <selection pane="bottomLeft" activeCell="BB25" sqref="BB25"/>
    </sheetView>
  </sheetViews>
  <sheetFormatPr defaultColWidth="9.140625" defaultRowHeight="15" outlineLevelCol="1" x14ac:dyDescent="0.25"/>
  <cols>
    <col min="1" max="1" width="9.85546875" style="9" bestFit="1" customWidth="1"/>
    <col min="2" max="2" width="12.140625" style="59" bestFit="1" customWidth="1"/>
    <col min="3" max="3" width="37.140625" style="9" bestFit="1" customWidth="1"/>
    <col min="4" max="4" width="27.85546875" style="9" bestFit="1" customWidth="1"/>
    <col min="5" max="5" width="17.140625" style="34" bestFit="1" customWidth="1"/>
    <col min="6" max="6" width="42.140625" style="9" bestFit="1" customWidth="1"/>
    <col min="7" max="7" width="32.7109375" style="9" bestFit="1" customWidth="1"/>
    <col min="8" max="8" width="33.5703125" style="9" bestFit="1" customWidth="1"/>
    <col min="9" max="9" width="17" style="9" bestFit="1" customWidth="1"/>
    <col min="10" max="47" width="11.5703125" style="9" hidden="1" customWidth="1" outlineLevel="1"/>
    <col min="48" max="48" width="3.140625" style="9" customWidth="1" collapsed="1"/>
    <col min="49" max="49" width="33.5703125" style="9" bestFit="1" customWidth="1"/>
    <col min="50" max="50" width="25.85546875" style="9" customWidth="1"/>
    <col min="51" max="51" width="18.5703125" style="9" customWidth="1"/>
    <col min="52" max="52" width="26.5703125" style="9" bestFit="1" customWidth="1"/>
    <col min="53" max="53" width="24.85546875" style="9" bestFit="1" customWidth="1"/>
    <col min="54" max="54" width="23" style="9" bestFit="1" customWidth="1"/>
    <col min="55" max="56" width="10.5703125" style="9" customWidth="1"/>
    <col min="57" max="57" width="9.140625" style="9"/>
    <col min="58" max="58" width="33.5703125" style="9" bestFit="1" customWidth="1"/>
    <col min="59" max="59" width="18.5703125" style="9" customWidth="1"/>
    <col min="60" max="16384" width="9.140625" style="9"/>
  </cols>
  <sheetData>
    <row r="1" spans="1:59" x14ac:dyDescent="0.25">
      <c r="J1" s="36" t="s">
        <v>0</v>
      </c>
      <c r="AB1" s="32"/>
      <c r="AC1" s="36" t="s">
        <v>0</v>
      </c>
      <c r="AU1" s="32"/>
      <c r="AV1" s="32"/>
      <c r="AW1" s="25" t="str">
        <f>IF(SIGN(COUNTIFS(Tabel1[Jaotus],"Ainukasutuses pind",Tabel1[Üürnik],"")+COUNTIFS(Tabel1[Jaotus],"&lt;&gt;Ainukasutuses pind",Tabel1[Üürnik],"*"))=0,"","Kontrolli Eksplikatsiooni lehel punasega värvitud väljasid")</f>
        <v/>
      </c>
      <c r="BD1" s="66"/>
      <c r="BF1" s="25" t="s">
        <v>1</v>
      </c>
    </row>
    <row r="2" spans="1:59" x14ac:dyDescent="0.2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Maa- ja Ruumiamet</v>
      </c>
      <c r="K2" s="13" t="str">
        <f ca="1">Eksplikatsioon!P3</f>
        <v>Muinsuskaitseamet</v>
      </c>
      <c r="L2" s="13" t="str">
        <f ca="1">Eksplikatsioon!Q3</f>
        <v>Eesti Rahvakultuuri Keskus</v>
      </c>
      <c r="M2" s="13" t="str">
        <f ca="1">Eksplikatsioon!R3</f>
        <v>Rahandusministeerium</v>
      </c>
      <c r="N2" s="13" t="str">
        <f ca="1">Eksplikatsioon!S3</f>
        <v>Põlvamaa Arenduskeskus SA</v>
      </c>
      <c r="O2" s="13" t="str">
        <f ca="1">Eksplikatsioon!T3</f>
        <v>Põlvamaa Maakonna Spordiliit</v>
      </c>
      <c r="P2" s="13" t="str">
        <f ca="1">Eksplikatsioon!U3</f>
        <v>MTÜ Kagu Ühistranspordikeskus</v>
      </c>
      <c r="Q2" s="13" t="str">
        <f ca="1">Eksplikatsioon!V3</f>
        <v>Tallinna Vangla</v>
      </c>
      <c r="R2" s="13" t="str">
        <f ca="1">Eksplikatsioon!W3</f>
        <v>Aktiivne vakantsus</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Maa- ja Ruumiamet</v>
      </c>
      <c r="AD2" s="13" t="str">
        <f ca="1">Eksplikatsioon!P3</f>
        <v>Muinsuskaitseamet</v>
      </c>
      <c r="AE2" s="13" t="str">
        <f ca="1">Eksplikatsioon!Q3</f>
        <v>Eesti Rahvakultuuri Keskus</v>
      </c>
      <c r="AF2" s="13" t="str">
        <f ca="1">Eksplikatsioon!R3</f>
        <v>Rahandusministeerium</v>
      </c>
      <c r="AG2" s="13" t="str">
        <f ca="1">Eksplikatsioon!S3</f>
        <v>Põlvamaa Arenduskeskus SA</v>
      </c>
      <c r="AH2" s="13" t="str">
        <f ca="1">Eksplikatsioon!T3</f>
        <v>Põlvamaa Maakonna Spordiliit</v>
      </c>
      <c r="AI2" s="13" t="str">
        <f ca="1">Eksplikatsioon!U3</f>
        <v>MTÜ Kagu Ühistranspordikeskus</v>
      </c>
      <c r="AJ2" s="13" t="str">
        <f ca="1">Eksplikatsioon!V3</f>
        <v>Tallinna Vangla</v>
      </c>
      <c r="AK2" s="13" t="str">
        <f ca="1">Eksplikatsioon!W3</f>
        <v>Aktiivne vakantsus</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2</v>
      </c>
      <c r="AX2" s="62" t="s">
        <v>3</v>
      </c>
      <c r="AY2" s="62" t="s">
        <v>4</v>
      </c>
      <c r="AZ2" s="62" t="s">
        <v>5</v>
      </c>
      <c r="BA2" s="62" t="s">
        <v>6</v>
      </c>
      <c r="BB2" s="62" t="s">
        <v>7</v>
      </c>
      <c r="BC2" s="62" t="s">
        <v>8</v>
      </c>
      <c r="BD2" s="62" t="s">
        <v>9</v>
      </c>
      <c r="BF2" s="61" t="s">
        <v>2</v>
      </c>
      <c r="BG2" s="61" t="s">
        <v>3</v>
      </c>
    </row>
    <row r="3" spans="1:59" x14ac:dyDescent="0.25">
      <c r="A3" s="23" t="str">
        <f>IF(Eksplikatsioon!A4=0,"",Eksplikatsioon!A4)</f>
        <v>00</v>
      </c>
      <c r="B3" s="60" t="str">
        <f>IF(Eksplikatsioon!B4=0,"",Eksplikatsioon!B4)</f>
        <v>001</v>
      </c>
      <c r="C3" s="23" t="str">
        <f>IF(Eksplikatsioon!C4=0,"",Eksplikatsioon!C4)</f>
        <v>VERTIKAALSETE ÜHENDUSTEEDE PIND</v>
      </c>
      <c r="D3" s="23" t="str">
        <f>IF(Eksplikatsioon!D4=0,"",Eksplikatsioon!D4)</f>
        <v>Trepp/Trepikoda</v>
      </c>
      <c r="E3" s="58">
        <f>IF(Eksplikatsioon!F4=0,"",Eksplikatsioon!F4)</f>
        <v>6.4</v>
      </c>
      <c r="F3" s="23" t="str">
        <f>IF(Eksplikatsioon!H4=0,"",Eksplikatsioon!H4)</f>
        <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Maa- ja Ruumiamet</v>
      </c>
      <c r="AX3" s="39" t="str">
        <f t="shared" ref="AX3" si="0">IF(BG3&lt;&gt;"",BG3,"")</f>
        <v>KESK20POLVA_20</v>
      </c>
      <c r="AY3" s="37">
        <f>IF(BF3&lt;&gt;"",IF(SUMIFS(E:E,H:H,AW3,G:G,"Ainukasutuses pind",C:C,"ÜÜRITAV PIND")=0,0,SUMIFS(E:E,H:H,AW3,G:G,"Ainukasutuses pind",C:C,"ÜÜRITAV PIND")),IF(AW3="Aktiivne vakantsus",SUMIFS(E:E,C:C,"üüritav pind",G:G,"ainukasutuses pind")-SUM($AY$2:AY2),IF(AW3="Üüritav pind kokku",SUM($AY$2:AY2),"")))</f>
        <v>73.399999999999991</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22.457824561403509</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3.3001712817584927</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99.157995843161999</v>
      </c>
      <c r="BD3" s="47">
        <f ca="1">IFERROR(IF(AND(AW3&lt;&gt;"passiivne vakantsus"),BC3/(SUMIFS(BC:BC,AW:AW,"Üüritav pind kokku")),""),"")</f>
        <v>5.7247269697570581E-2</v>
      </c>
      <c r="BF3" s="38" t="s">
        <v>10</v>
      </c>
      <c r="BG3" s="38" t="s">
        <v>11</v>
      </c>
    </row>
    <row r="4" spans="1:59" x14ac:dyDescent="0.25">
      <c r="A4" s="23" t="str">
        <f>IF(Eksplikatsioon!A5=0,"",Eksplikatsioon!A5)</f>
        <v>00</v>
      </c>
      <c r="B4" s="60" t="str">
        <f>IF(Eksplikatsioon!B5=0,"",Eksplikatsioon!B5)</f>
        <v>002</v>
      </c>
      <c r="C4" s="23" t="str">
        <f>IF(Eksplikatsioon!C5=0,"",Eksplikatsioon!C5)</f>
        <v>ÜÜRITAV PIND</v>
      </c>
      <c r="D4" s="23" t="str">
        <f>IF(Eksplikatsioon!D5=0,"",Eksplikatsioon!D5)</f>
        <v>Abiruum</v>
      </c>
      <c r="E4" s="58">
        <f>IF(Eksplikatsioon!F5=0,"",Eksplikatsioon!F5)</f>
        <v>2.2000000000000002</v>
      </c>
      <c r="F4" s="23" t="str">
        <f>IF(Eksplikatsioon!H5=0,"",Eksplikatsioon!H5)</f>
        <v/>
      </c>
      <c r="G4" s="23" t="str">
        <f>IF(Eksplikatsioon!J5=0,"",Eksplikatsioon!J5)</f>
        <v>Ainukasutuses pind</v>
      </c>
      <c r="H4" s="23" t="str">
        <f>IF(Eksplikatsioon!K5=0,"",Eksplikatsioon!K5)</f>
        <v>Aktiivne vakantsus</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Muinsuskaitseamet</v>
      </c>
      <c r="AX4" s="39" t="str">
        <f t="shared" ref="AX4:AX9" si="2">IF(BG4&lt;&gt;"",BG4,"")</f>
        <v>KESK20POLVA_17</v>
      </c>
      <c r="AY4" s="37">
        <f>IF(BF4&lt;&gt;"",IF(SUMIFS(E:E,H:H,AW4,G:G,"Ainukasutuses pind",C:C,"ÜÜRITAV PIND")=0,0,SUMIFS(E:E,H:H,AW4,G:G,"Ainukasutuses pind",C:C,"ÜÜRITAV PIND")),IF(AW4="Aktiivne vakantsus",SUMIFS(E:E,C:C,"üüritav pind",G:G,"ainukasutuses pind")-SUM($AY$2:AY3),IF(AW4="Üüritav pind kokku",SUM($AY$2:AY3),"")))</f>
        <v>17.7</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4.436001989060169</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0.79581787039680274</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22.931819859456972</v>
      </c>
      <c r="BD4" s="47">
        <f t="shared" ref="BD4:BD9" ca="1" si="4">IFERROR(IF(AND(AW4&lt;&gt;"passiivne vakantsus"),BC4/(SUMIFS(BC:BC,AW:AW,"Üüritav pind kokku")),""),"")</f>
        <v>1.3239316355555092E-2</v>
      </c>
      <c r="BF4" s="38" t="s">
        <v>12</v>
      </c>
      <c r="BG4" s="38" t="s">
        <v>13</v>
      </c>
    </row>
    <row r="5" spans="1:59" x14ac:dyDescent="0.25">
      <c r="A5" s="23" t="str">
        <f>IF(Eksplikatsioon!A6=0,"",Eksplikatsioon!A6)</f>
        <v>00</v>
      </c>
      <c r="B5" s="60" t="str">
        <f>IF(Eksplikatsioon!B6=0,"",Eksplikatsioon!B6)</f>
        <v>003</v>
      </c>
      <c r="C5" s="23" t="str">
        <f>IF(Eksplikatsioon!C6=0,"",Eksplikatsioon!C6)</f>
        <v>ÜÜRITAV PIND</v>
      </c>
      <c r="D5" s="23" t="str">
        <f>IF(Eksplikatsioon!D6=0,"",Eksplikatsioon!D6)</f>
        <v>Garaaž</v>
      </c>
      <c r="E5" s="58">
        <f>IF(Eksplikatsioon!F6=0,"",Eksplikatsioon!F6)</f>
        <v>36.1</v>
      </c>
      <c r="F5" s="23" t="str">
        <f>IF(Eksplikatsioon!H6=0,"",Eksplikatsioon!H6)</f>
        <v/>
      </c>
      <c r="G5" s="23" t="str">
        <f>IF(Eksplikatsioon!J6=0,"",Eksplikatsioon!J6)</f>
        <v>Ainukasutuses pind</v>
      </c>
      <c r="H5" s="23" t="str">
        <f>IF(Eksplikatsioon!K6=0,"",Eksplikatsioon!K6)</f>
        <v>Aktiivne vakantsus</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Eesti Rahvakultuuri Keskus</v>
      </c>
      <c r="AX5" s="39" t="str">
        <f t="shared" si="2"/>
        <v>KESK20POLVA_18</v>
      </c>
      <c r="AY5" s="37">
        <f>IF(BF5&lt;&gt;"",IF(SUMIFS(E:E,H:H,AW5,G:G,"Ainukasutuses pind",C:C,"ÜÜRITAV PIND")=0,0,SUMIFS(E:E,H:H,AW5,G:G,"Ainukasutuses pind",C:C,"ÜÜRITAV PIND")),IF(AW5="Aktiivne vakantsus",SUMIFS(E:E,C:C,"üüritav pind",G:G,"ainukasutuses pind")-SUM($AY$2:AY4),IF(AW5="Üüritav pind kokku",SUM($AY$2:AY4),"")))</f>
        <v>15.9</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3.9848831427150673</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0.71488723950899236</v>
      </c>
      <c r="BB5" s="37">
        <f ca="1">IF(OR(BF5&lt;&gt;"",AW5="Aktiivne vakantsus"),IFERROR(SUM(INDIRECT("r3c"&amp;MATCH($AW5,AC$2:AU$2,0)+28,FALSE):INDIRECT("r1002c"&amp;MATCH($AW5,AC$2:AU$2,0)+28,FALSE)),0),IF(AW5="Üüritav pind kokku",SUM($BB$2:BB4),""))</f>
        <v>0</v>
      </c>
      <c r="BC5" s="37">
        <f t="shared" ca="1" si="3"/>
        <v>20.599770382224062</v>
      </c>
      <c r="BD5" s="47">
        <f t="shared" ca="1" si="4"/>
        <v>1.189294520075288E-2</v>
      </c>
      <c r="BF5" s="38" t="s">
        <v>14</v>
      </c>
      <c r="BG5" s="38" t="s">
        <v>15</v>
      </c>
    </row>
    <row r="6" spans="1:59" x14ac:dyDescent="0.25">
      <c r="A6" s="23" t="str">
        <f>IF(Eksplikatsioon!A7=0,"",Eksplikatsioon!A7)</f>
        <v>00</v>
      </c>
      <c r="B6" s="60" t="str">
        <f>IF(Eksplikatsioon!B7=0,"",Eksplikatsioon!B7)</f>
        <v>004</v>
      </c>
      <c r="C6" s="23" t="str">
        <f>IF(Eksplikatsioon!C7=0,"",Eksplikatsioon!C7)</f>
        <v>ÜÜRITAV PIND</v>
      </c>
      <c r="D6" s="23" t="str">
        <f>IF(Eksplikatsioon!D7=0,"",Eksplikatsioon!D7)</f>
        <v>Garaaž</v>
      </c>
      <c r="E6" s="58">
        <f>IF(Eksplikatsioon!F7=0,"",Eksplikatsioon!F7)</f>
        <v>53.3</v>
      </c>
      <c r="F6" s="23" t="str">
        <f>IF(Eksplikatsioon!H7=0,"",Eksplikatsioon!H7)</f>
        <v/>
      </c>
      <c r="G6" s="23" t="str">
        <f>IF(Eksplikatsioon!J7=0,"",Eksplikatsioon!J7)</f>
        <v>Ainukasutuses pind</v>
      </c>
      <c r="H6" s="23" t="str">
        <f>IF(Eksplikatsioon!K7=0,"",Eksplikatsioon!K7)</f>
        <v>Aktiivne vakantsus</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Rahandusministeerium</v>
      </c>
      <c r="AX6" s="39" t="str">
        <f t="shared" si="2"/>
        <v>KESK20POLVA_19</v>
      </c>
      <c r="AY6" s="37">
        <f>IF(BF6&lt;&gt;"",IF(SUMIFS(E:E,H:H,AW6,G:G,"Ainukasutuses pind",C:C,"ÜÜRITAV PIND")=0,0,SUMIFS(E:E,H:H,AW6,G:G,"Ainukasutuses pind",C:C,"ÜÜRITAV PIND")),IF(AW6="Aktiivne vakantsus",SUMIFS(E:E,C:C,"üüritav pind",G:G,"ainukasutuses pind")-SUM($AY$2:AY5),IF(AW6="Üüritav pind kokku",SUM($AY$2:AY5),"")))</f>
        <v>108.9</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20.537137625877328</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4.8963031687125325</v>
      </c>
      <c r="BB6" s="37">
        <f ca="1">IF(OR(BF6&lt;&gt;"",AW6="Aktiivne vakantsus"),IFERROR(SUM(INDIRECT("r3c"&amp;MATCH($AW6,AC$2:AU$2,0)+28,FALSE):INDIRECT("r1002c"&amp;MATCH($AW6,AC$2:AU$2,0)+28,FALSE)),0),IF(AW6="Üüritav pind kokku",SUM($BB$2:BB5),""))</f>
        <v>0</v>
      </c>
      <c r="BC6" s="37">
        <f t="shared" ca="1" si="3"/>
        <v>134.33344079458988</v>
      </c>
      <c r="BD6" s="47">
        <f t="shared" ca="1" si="4"/>
        <v>7.7555245536972392E-2</v>
      </c>
      <c r="BF6" s="38" t="s">
        <v>16</v>
      </c>
      <c r="BG6" s="38" t="s">
        <v>17</v>
      </c>
    </row>
    <row r="7" spans="1:59" x14ac:dyDescent="0.25">
      <c r="A7" s="23" t="str">
        <f>IF(Eksplikatsioon!A8=0,"",Eksplikatsioon!A8)</f>
        <v>00</v>
      </c>
      <c r="B7" s="60" t="str">
        <f>IF(Eksplikatsioon!B8=0,"",Eksplikatsioon!B8)</f>
        <v>005</v>
      </c>
      <c r="C7" s="23" t="str">
        <f>IF(Eksplikatsioon!C8=0,"",Eksplikatsioon!C8)</f>
        <v>ÜÜRITAV PIND</v>
      </c>
      <c r="D7" s="23" t="str">
        <f>IF(Eksplikatsioon!D8=0,"",Eksplikatsioon!D8)</f>
        <v>Garaaž</v>
      </c>
      <c r="E7" s="58">
        <f>IF(Eksplikatsioon!F8=0,"",Eksplikatsioon!F8)</f>
        <v>27</v>
      </c>
      <c r="F7" s="23" t="str">
        <f>IF(Eksplikatsioon!H8=0,"",Eksplikatsioon!H8)</f>
        <v/>
      </c>
      <c r="G7" s="23" t="str">
        <f>IF(Eksplikatsioon!J8=0,"",Eksplikatsioon!J8)</f>
        <v>Ainukasutuses pind</v>
      </c>
      <c r="H7" s="23" t="str">
        <f>IF(Eksplikatsioon!K8=0,"",Eksplikatsioon!K8)</f>
        <v>Põlvamaa Arenduskeskus SA</v>
      </c>
      <c r="I7" s="23" t="str">
        <f>IF(Eksplikatsioon!L8=0,"",Eksplikatsioon!L8)</f>
        <v>KESK20POLVA_15</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Põlvamaa Arenduskeskus SA</v>
      </c>
      <c r="AX7" s="39" t="str">
        <f t="shared" si="2"/>
        <v>KESK20POLVA_15</v>
      </c>
      <c r="AY7" s="37">
        <f>IF(BF7&lt;&gt;"",IF(SUMIFS(E:E,H:H,AW7,G:G,"Ainukasutuses pind",C:C,"ÜÜRITAV PIND")=0,0,SUMIFS(E:E,H:H,AW7,G:G,"Ainukasutuses pind",C:C,"ÜÜRITAV PIND")),IF(AW7="Aktiivne vakantsus",SUMIFS(E:E,C:C,"üüritav pind",G:G,"ainukasutuses pind")-SUM($AY$2:AY6),IF(AW7="Üüritav pind kokku",SUM($AY$2:AY6),"")))</f>
        <v>257.59999999999997</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49.995105808185862</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11.582072509277761</v>
      </c>
      <c r="BB7" s="37">
        <f ca="1">IF(OR(BF7&lt;&gt;"",AW7="Aktiivne vakantsus"),IFERROR(SUM(INDIRECT("r3c"&amp;MATCH($AW7,AC$2:AU$2,0)+28,FALSE):INDIRECT("r1002c"&amp;MATCH($AW7,AC$2:AU$2,0)+28,FALSE)),0),IF(AW7="Üüritav pind kokku",SUM($BB$2:BB6),""))</f>
        <v>0</v>
      </c>
      <c r="BC7" s="37">
        <f t="shared" ca="1" si="3"/>
        <v>319.17717831746359</v>
      </c>
      <c r="BD7" s="47">
        <f t="shared" ca="1" si="4"/>
        <v>0.18427179626895884</v>
      </c>
      <c r="BF7" s="38" t="s">
        <v>18</v>
      </c>
      <c r="BG7" s="38" t="s">
        <v>19</v>
      </c>
    </row>
    <row r="8" spans="1:59" x14ac:dyDescent="0.25">
      <c r="A8" s="23" t="str">
        <f>IF(Eksplikatsioon!A9=0,"",Eksplikatsioon!A9)</f>
        <v>00</v>
      </c>
      <c r="B8" s="60" t="str">
        <f>IF(Eksplikatsioon!B9=0,"",Eksplikatsioon!B9)</f>
        <v>005A</v>
      </c>
      <c r="C8" s="23" t="str">
        <f>IF(Eksplikatsioon!C9=0,"",Eksplikatsioon!C9)</f>
        <v>ÜÜRITAV PIND</v>
      </c>
      <c r="D8" s="23" t="str">
        <f>IF(Eksplikatsioon!D9=0,"",Eksplikatsioon!D9)</f>
        <v>Garaaž</v>
      </c>
      <c r="E8" s="58">
        <f>IF(Eksplikatsioon!F9=0,"",Eksplikatsioon!F9)</f>
        <v>15.5</v>
      </c>
      <c r="F8" s="23" t="str">
        <f>IF(Eksplikatsioon!H9=0,"",Eksplikatsioon!H9)</f>
        <v/>
      </c>
      <c r="G8" s="23" t="str">
        <f>IF(Eksplikatsioon!J9=0,"",Eksplikatsioon!J9)</f>
        <v>Ainukasutuses pind</v>
      </c>
      <c r="H8" s="23" t="str">
        <f>IF(Eksplikatsioon!K9=0,"",Eksplikatsioon!K9)</f>
        <v>MTÜ Kagu Ühistranspordikeskus</v>
      </c>
      <c r="I8" s="23" t="str">
        <f>IF(Eksplikatsioon!L9=0,"",Eksplikatsioon!L9)</f>
        <v>KESK20POLVA_13</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Põlvamaa Maakonna Spordiliit</v>
      </c>
      <c r="AX8" s="39" t="str">
        <f t="shared" si="2"/>
        <v>KESK20POLVA_14</v>
      </c>
      <c r="AY8" s="37">
        <f>IF(BF8&lt;&gt;"",IF(SUMIFS(E:E,H:H,AW8,G:G,"Ainukasutuses pind",C:C,"ÜÜRITAV PIND")=0,0,SUMIFS(E:E,H:H,AW8,G:G,"Ainukasutuses pind",C:C,"ÜÜRITAV PIND")),IF(AW8="Aktiivne vakantsus",SUMIFS(E:E,C:C,"üüritav pind",G:G,"ainukasutuses pind")-SUM($AY$2:AY7),IF(AW8="Üüritav pind kokku",SUM($AY$2:AY7),"")))</f>
        <v>29.700000000000003</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6.9918083917831213</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1.3353554096488727</v>
      </c>
      <c r="BB8" s="37">
        <f ca="1">IF(OR(BF8&lt;&gt;"",AW8="Aktiivne vakantsus"),IFERROR(SUM(INDIRECT("r3c"&amp;MATCH($AW8,AC$2:AU$2,0)+28,FALSE):INDIRECT("r1002c"&amp;MATCH($AW8,AC$2:AU$2,0)+28,FALSE)),0),IF(AW8="Üüritav pind kokku",SUM($BB$2:BB7),""))</f>
        <v>1.8600000000000003</v>
      </c>
      <c r="BC8" s="37">
        <f t="shared" ca="1" si="3"/>
        <v>39.887163801431996</v>
      </c>
      <c r="BD8" s="47">
        <f t="shared" ca="1" si="4"/>
        <v>2.3028210727690086E-2</v>
      </c>
      <c r="BF8" s="38" t="s">
        <v>20</v>
      </c>
      <c r="BG8" s="38" t="s">
        <v>21</v>
      </c>
    </row>
    <row r="9" spans="1:59" x14ac:dyDescent="0.25">
      <c r="A9" s="23" t="str">
        <f>IF(Eksplikatsioon!A10=0,"",Eksplikatsioon!A10)</f>
        <v>00</v>
      </c>
      <c r="B9" s="60" t="str">
        <f>IF(Eksplikatsioon!B10=0,"",Eksplikatsioon!B10)</f>
        <v>006</v>
      </c>
      <c r="C9" s="23" t="str">
        <f>IF(Eksplikatsioon!C10=0,"",Eksplikatsioon!C10)</f>
        <v>ÜÜRITAV PIND</v>
      </c>
      <c r="D9" s="23" t="str">
        <f>IF(Eksplikatsioon!D10=0,"",Eksplikatsioon!D10)</f>
        <v>Puhkeruum</v>
      </c>
      <c r="E9" s="58">
        <f>IF(Eksplikatsioon!F10=0,"",Eksplikatsioon!F10)</f>
        <v>10.8</v>
      </c>
      <c r="F9" s="23" t="str">
        <f>IF(Eksplikatsioon!H10=0,"",Eksplikatsioon!H10)</f>
        <v/>
      </c>
      <c r="G9" s="23" t="str">
        <f>IF(Eksplikatsioon!J10=0,"",Eksplikatsioon!J10)</f>
        <v>Ainukasutuses pind</v>
      </c>
      <c r="H9" s="23" t="str">
        <f>IF(Eksplikatsioon!K10=0,"",Eksplikatsioon!K10)</f>
        <v>Aktiivne vakantsus</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MTÜ Kagu Ühistranspordikeskus</v>
      </c>
      <c r="AX9" s="39" t="str">
        <f t="shared" si="2"/>
        <v>KESK20POLVA_13</v>
      </c>
      <c r="AY9" s="37">
        <f>IF(BF9&lt;&gt;"",IF(SUMIFS(E:E,H:H,AW9,G:G,"Ainukasutuses pind",C:C,"ÜÜRITAV PIND")=0,0,SUMIFS(E:E,H:H,AW9,G:G,"Ainukasutuses pind",C:C,"ÜÜRITAV PIND")),IF(AW9="Aktiivne vakantsus",SUMIFS(E:E,C:C,"üüritav pind",G:G,"ainukasutuses pind")-SUM($AY$2:AY8),IF(AW9="Üüritav pind kokku",SUM($AY$2:AY8),"")))</f>
        <v>58.2</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9.1459220749279293</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2.6167570653725383</v>
      </c>
      <c r="BB9" s="37">
        <f ca="1">IF(OR(BF9&lt;&gt;"",AW9="Aktiivne vakantsus"),IFERROR(SUM(INDIRECT("r3c"&amp;MATCH($AW9,AC$2:AU$2,0)+28,FALSE):INDIRECT("r1002c"&amp;MATCH($AW9,AC$2:AU$2,0)+28,FALSE)),0),IF(AW9="Üüritav pind kokku",SUM($BB$2:BB8),""))</f>
        <v>0</v>
      </c>
      <c r="BC9" s="37">
        <f t="shared" ca="1" si="3"/>
        <v>69.962679140300466</v>
      </c>
      <c r="BD9" s="47">
        <f t="shared" ca="1" si="4"/>
        <v>4.0391824456036299E-2</v>
      </c>
      <c r="BF9" s="38" t="s">
        <v>22</v>
      </c>
      <c r="BG9" s="38" t="s">
        <v>23</v>
      </c>
    </row>
    <row r="10" spans="1:59" x14ac:dyDescent="0.25">
      <c r="A10" s="23" t="str">
        <f>IF(Eksplikatsioon!A11=0,"",Eksplikatsioon!A11)</f>
        <v>00</v>
      </c>
      <c r="B10" s="60" t="str">
        <f>IF(Eksplikatsioon!B11=0,"",Eksplikatsioon!B11)</f>
        <v>007</v>
      </c>
      <c r="C10" s="23" t="str">
        <f>IF(Eksplikatsioon!C11=0,"",Eksplikatsioon!C11)</f>
        <v>ÜÜRITAV PIND</v>
      </c>
      <c r="D10" s="23" t="str">
        <f>IF(Eksplikatsioon!D11=0,"",Eksplikatsioon!D11)</f>
        <v>Eesruum</v>
      </c>
      <c r="E10" s="58">
        <f>IF(Eksplikatsioon!F11=0,"",Eksplikatsioon!F11)</f>
        <v>6.1</v>
      </c>
      <c r="F10" s="23" t="str">
        <f>IF(Eksplikatsioon!H11=0,"",Eksplikatsioon!H11)</f>
        <v/>
      </c>
      <c r="G10" s="23" t="str">
        <f>IF(Eksplikatsioon!J11=0,"",Eksplikatsioon!J11)</f>
        <v>Ühiskasutuses hoone pind</v>
      </c>
      <c r="H10" s="23" t="str">
        <f>IF(Eksplikatsioon!K11=0,"",Eksplikatsioon!K11)</f>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Tallinna Vangla</v>
      </c>
      <c r="AX10" s="39" t="str">
        <f t="shared" ref="AX10:AX48" si="6">IF(BG10&lt;&gt;"",BG10,"")</f>
        <v>KESK20POLVA_16</v>
      </c>
      <c r="AY10" s="37">
        <f>IF(BF10&lt;&gt;"",IF(SUMIFS(E:E,H:H,AW10,G:G,"Ainukasutuses pind",C:C,"ÜÜRITAV PIND")=0,0,SUMIFS(E:E,H:H,AW10,G:G,"Ainukasutuses pind",C:C,"ÜÜRITAV PIND")),IF(AW10="Aktiivne vakantsus",SUMIFS(E:E,C:C,"üüritav pind",G:G,"ainukasutuses pind")-SUM($AY$2:AY9),IF(AW10="Üüritav pind kokku",SUM($AY$2:AY9),"")))</f>
        <v>145.9</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36.565688712083542</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6.5598772480730805</v>
      </c>
      <c r="BB10" s="37">
        <f ca="1">IF(OR(BF10&lt;&gt;"",AW10="Aktiivne vakantsus"),IFERROR(SUM(INDIRECT("r3c"&amp;MATCH($AW10,AC$2:AU$2,0)+28,FALSE):INDIRECT("r1002c"&amp;MATCH($AW10,AC$2:AU$2,0)+28,FALSE)),0),IF(AW10="Üüritav pind kokku",SUM($BB$2:BB9),""))</f>
        <v>0</v>
      </c>
      <c r="BC10" s="37">
        <f t="shared" ref="BC10:BC48" ca="1" si="7">IF(AW10="Passiivne vakantsus",SUMIFS(E:E,C:C,"PASSIIVNE VAKANTSUS"),IF(AW10="Üüritav pind kokku",SUM(AY10:BB10),IF(AW10&lt;&gt;"",SUM(AY10:BB10),"")))</f>
        <v>189.02556596015663</v>
      </c>
      <c r="BD10" s="47">
        <f t="shared" ref="BD10:BD48" ca="1" si="8">IFERROR(IF(AND(AW10&lt;&gt;"passiivne vakantsus"),BC10/(SUMIFS(BC:BC,AW:AW,"Üüritav pind kokku")),""),"")</f>
        <v>0.10913086193646823</v>
      </c>
      <c r="BF10" s="38" t="s">
        <v>24</v>
      </c>
      <c r="BG10" s="38" t="s">
        <v>25</v>
      </c>
    </row>
    <row r="11" spans="1:59" x14ac:dyDescent="0.25">
      <c r="A11" s="23" t="str">
        <f>IF(Eksplikatsioon!A12=0,"",Eksplikatsioon!A12)</f>
        <v>00</v>
      </c>
      <c r="B11" s="60" t="str">
        <f>IF(Eksplikatsioon!B12=0,"",Eksplikatsioon!B12)</f>
        <v>008</v>
      </c>
      <c r="C11" s="23" t="str">
        <f>IF(Eksplikatsioon!C12=0,"",Eksplikatsioon!C12)</f>
        <v>VERTIKAALSETE ÜHENDUSTEEDE PIND</v>
      </c>
      <c r="D11" s="23" t="str">
        <f>IF(Eksplikatsioon!D12=0,"",Eksplikatsioon!D12)</f>
        <v>Trepp/Trepikoda</v>
      </c>
      <c r="E11" s="58">
        <f>IF(Eksplikatsioon!F12=0,"",Eksplikatsioon!F12)</f>
        <v>4.5999999999999996</v>
      </c>
      <c r="F11" s="23" t="str">
        <f>IF(Eksplikatsioon!H12=0,"",Eksplikatsioon!H12)</f>
        <v/>
      </c>
      <c r="G11" s="23" t="str">
        <f>IF(Eksplikatsioon!J12=0,"",Eksplikatsioon!J12)</f>
        <v/>
      </c>
      <c r="H11" s="23" t="str">
        <f>IF(Eksplikatsioon!K12=0,"",Eksplikatsioon!K12)</f>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Aktiivne vakantsus</v>
      </c>
      <c r="AX11" s="39" t="str">
        <f t="shared" si="6"/>
        <v/>
      </c>
      <c r="AY11" s="37">
        <f>IF(BF11&lt;&gt;"",IF(SUMIFS(E:E,H:H,AW11,G:G,"Ainukasutuses pind",C:C,"ÜÜRITAV PIND")=0,0,SUMIFS(E:E,H:H,AW11,G:G,"Ainukasutuses pind",C:C,"ÜÜRITAV PIND")),IF(AW11="Aktiivne vakantsus",SUMIFS(E:E,C:C,"üüritav pind",G:G,"ainukasutuses pind")-SUM($AY$2:AY10),IF(AW11="Üüritav pind kokku",SUM($AY$2:AY10),"")))</f>
        <v>693.90000000000009</v>
      </c>
      <c r="AZ11" s="37">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95.185627693963539</v>
      </c>
      <c r="BA11" s="37">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31.198758207250933</v>
      </c>
      <c r="BB11" s="37">
        <f ca="1">IF(OR(BF11&lt;&gt;"",AW11="Aktiivne vakantsus"),IFERROR(SUM(INDIRECT("r3c"&amp;MATCH($AW11,AC$2:AU$2,0)+28,FALSE):INDIRECT("r1002c"&amp;MATCH($AW11,AC$2:AU$2,0)+28,FALSE)),0),IF(AW11="Üüritav pind kokku",SUM($BB$2:BB10),""))</f>
        <v>16.740000000000002</v>
      </c>
      <c r="BC11" s="37">
        <f t="shared" ca="1" si="7"/>
        <v>837.0243859012146</v>
      </c>
      <c r="BD11" s="47">
        <f t="shared" ca="1" si="8"/>
        <v>0.48324252981999577</v>
      </c>
      <c r="BF11" s="38"/>
      <c r="BG11" s="38"/>
    </row>
    <row r="12" spans="1:59" x14ac:dyDescent="0.25">
      <c r="A12" s="23" t="str">
        <f>IF(Eksplikatsioon!A13=0,"",Eksplikatsioon!A13)</f>
        <v>00</v>
      </c>
      <c r="B12" s="60" t="str">
        <f>IF(Eksplikatsioon!B13=0,"",Eksplikatsioon!B13)</f>
        <v>009</v>
      </c>
      <c r="C12" s="23" t="str">
        <f>IF(Eksplikatsioon!C13=0,"",Eksplikatsioon!C13)</f>
        <v>ÜÜRITAV PIND</v>
      </c>
      <c r="D12" s="23" t="str">
        <f>IF(Eksplikatsioon!D13=0,"",Eksplikatsioon!D13)</f>
        <v>Koridor</v>
      </c>
      <c r="E12" s="58">
        <f>IF(Eksplikatsioon!F13=0,"",Eksplikatsioon!F13)</f>
        <v>16.600000000000001</v>
      </c>
      <c r="F12" s="23" t="str">
        <f>IF(Eksplikatsioon!H13=0,"",Eksplikatsioon!H13)</f>
        <v/>
      </c>
      <c r="G12" s="23" t="str">
        <f>IF(Eksplikatsioon!J13=0,"",Eksplikatsioon!J13)</f>
        <v>Ühiskasutuses korruse pind</v>
      </c>
      <c r="H12" s="23" t="str">
        <f>IF(Eksplikatsioon!K13=0,"",Eksplikatsioon!K13)</f>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Üüritav pind kokku</v>
      </c>
      <c r="AX12" s="39" t="str">
        <f t="shared" si="6"/>
        <v/>
      </c>
      <c r="AY12" s="37">
        <f>IF(BF12&lt;&gt;"",IF(SUMIFS(E:E,H:H,AW12,G:G,"Ainukasutuses pind",C:C,"ÜÜRITAV PIND")=0,0,SUMIFS(E:E,H:H,AW12,G:G,"Ainukasutuses pind",C:C,"ÜÜRITAV PIND")),IF(AW12="Aktiivne vakantsus",SUMIFS(E:E,C:C,"üüritav pind",G:G,"ainukasutuses pind")-SUM($AY$2:AY11),IF(AW12="Üüritav pind kokku",SUM($AY$2:AY11),"")))</f>
        <v>1401.2</v>
      </c>
      <c r="AZ12" s="37">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249.30000000000004</v>
      </c>
      <c r="BA12" s="37">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63.000000000000007</v>
      </c>
      <c r="BB12" s="37">
        <f ca="1">IF(OR(BF12&lt;&gt;"",AW12="Aktiivne vakantsus"),IFERROR(SUM(INDIRECT("r3c"&amp;MATCH($AW12,AC$2:AU$2,0)+28,FALSE):INDIRECT("r1002c"&amp;MATCH($AW12,AC$2:AU$2,0)+28,FALSE)),0),IF(AW12="Üüritav pind kokku",SUM($BB$2:BB11),""))</f>
        <v>18.600000000000001</v>
      </c>
      <c r="BC12" s="37">
        <f t="shared" ca="1" si="7"/>
        <v>1732.1</v>
      </c>
      <c r="BD12" s="47">
        <f t="shared" ca="1" si="8"/>
        <v>1</v>
      </c>
      <c r="BF12" s="38"/>
      <c r="BG12" s="38"/>
    </row>
    <row r="13" spans="1:59" x14ac:dyDescent="0.25">
      <c r="A13" s="23" t="str">
        <f>IF(Eksplikatsioon!A14=0,"",Eksplikatsioon!A14)</f>
        <v>00</v>
      </c>
      <c r="B13" s="60" t="str">
        <f>IF(Eksplikatsioon!B14=0,"",Eksplikatsioon!B14)</f>
        <v>010</v>
      </c>
      <c r="C13" s="23" t="str">
        <f>IF(Eksplikatsioon!C14=0,"",Eksplikatsioon!C14)</f>
        <v>ÜÜRITAV PIND</v>
      </c>
      <c r="D13" s="23" t="str">
        <f>IF(Eksplikatsioon!D14=0,"",Eksplikatsioon!D14)</f>
        <v>Nõupidamise ruum</v>
      </c>
      <c r="E13" s="58">
        <f>IF(Eksplikatsioon!F14=0,"",Eksplikatsioon!F14)</f>
        <v>18.3</v>
      </c>
      <c r="F13" s="23" t="str">
        <f>IF(Eksplikatsioon!H14=0,"",Eksplikatsioon!H14)</f>
        <v/>
      </c>
      <c r="G13" s="23" t="str">
        <f>IF(Eksplikatsioon!J14=0,"",Eksplikatsioon!J14)</f>
        <v>Ainukasutuses pind</v>
      </c>
      <c r="H13" s="23" t="str">
        <f>IF(Eksplikatsioon!K14=0,"",Eksplikatsioon!K14)</f>
        <v>Aktiivne vakantsus</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Passiivne vakantsus</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f t="shared" si="7"/>
        <v>14.3</v>
      </c>
      <c r="BD13" s="47" t="str">
        <f t="shared" si="8"/>
        <v/>
      </c>
      <c r="BF13" s="38"/>
      <c r="BG13" s="38"/>
    </row>
    <row r="14" spans="1:59" x14ac:dyDescent="0.25">
      <c r="A14" s="23" t="str">
        <f>IF(Eksplikatsioon!A15=0,"",Eksplikatsioon!A15)</f>
        <v>00</v>
      </c>
      <c r="B14" s="60" t="str">
        <f>IF(Eksplikatsioon!B15=0,"",Eksplikatsioon!B15)</f>
        <v>011</v>
      </c>
      <c r="C14" s="23" t="str">
        <f>IF(Eksplikatsioon!C15=0,"",Eksplikatsioon!C15)</f>
        <v>ÜÜRITAV PIND</v>
      </c>
      <c r="D14" s="23" t="str">
        <f>IF(Eksplikatsioon!D15=0,"",Eksplikatsioon!D15)</f>
        <v>Kabinet/Büroo</v>
      </c>
      <c r="E14" s="58">
        <f>IF(Eksplikatsioon!F15=0,"",Eksplikatsioon!F15)</f>
        <v>18.3</v>
      </c>
      <c r="F14" s="23" t="str">
        <f>IF(Eksplikatsioon!H15=0,"",Eksplikatsioon!H15)</f>
        <v/>
      </c>
      <c r="G14" s="23" t="str">
        <f>IF(Eksplikatsioon!J15=0,"",Eksplikatsioon!J15)</f>
        <v>Ainukasutuses pind</v>
      </c>
      <c r="H14" s="23" t="str">
        <f>IF(Eksplikatsioon!K15=0,"",Eksplikatsioon!K15)</f>
        <v>Aktiivne vakantsus</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x14ac:dyDescent="0.25">
      <c r="A15" s="23" t="str">
        <f>IF(Eksplikatsioon!A16=0,"",Eksplikatsioon!A16)</f>
        <v>00</v>
      </c>
      <c r="B15" s="60" t="str">
        <f>IF(Eksplikatsioon!B16=0,"",Eksplikatsioon!B16)</f>
        <v>012</v>
      </c>
      <c r="C15" s="23" t="str">
        <f>IF(Eksplikatsioon!C16=0,"",Eksplikatsioon!C16)</f>
        <v>ÜÜRITAV PIND</v>
      </c>
      <c r="D15" s="23" t="str">
        <f>IF(Eksplikatsioon!D16=0,"",Eksplikatsioon!D16)</f>
        <v>Kabinet/Büroo</v>
      </c>
      <c r="E15" s="58">
        <f>IF(Eksplikatsioon!F16=0,"",Eksplikatsioon!F16)</f>
        <v>29.6</v>
      </c>
      <c r="F15" s="23" t="str">
        <f>IF(Eksplikatsioon!H16=0,"",Eksplikatsioon!H16)</f>
        <v/>
      </c>
      <c r="G15" s="23" t="str">
        <f>IF(Eksplikatsioon!J16=0,"",Eksplikatsioon!J16)</f>
        <v>Ainukasutuses pind</v>
      </c>
      <c r="H15" s="23" t="str">
        <f>IF(Eksplikatsioon!K16=0,"",Eksplikatsioon!K16)</f>
        <v>Aktiivne vakantsus</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25">
      <c r="A16" s="23" t="str">
        <f>IF(Eksplikatsioon!A17=0,"",Eksplikatsioon!A17)</f>
        <v>00</v>
      </c>
      <c r="B16" s="60" t="str">
        <f>IF(Eksplikatsioon!B17=0,"",Eksplikatsioon!B17)</f>
        <v>013</v>
      </c>
      <c r="C16" s="23" t="str">
        <f>IF(Eksplikatsioon!C17=0,"",Eksplikatsioon!C17)</f>
        <v>ÜÜRITAV PIND</v>
      </c>
      <c r="D16" s="23" t="str">
        <f>IF(Eksplikatsioon!D17=0,"",Eksplikatsioon!D17)</f>
        <v>Eesruum</v>
      </c>
      <c r="E16" s="58">
        <f>IF(Eksplikatsioon!F17=0,"",Eksplikatsioon!F17)</f>
        <v>3.3</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25">
      <c r="A17" s="23" t="str">
        <f>IF(Eksplikatsioon!A18=0,"",Eksplikatsioon!A18)</f>
        <v>00</v>
      </c>
      <c r="B17" s="60" t="str">
        <f>IF(Eksplikatsioon!B18=0,"",Eksplikatsioon!B18)</f>
        <v>014</v>
      </c>
      <c r="C17" s="23" t="str">
        <f>IF(Eksplikatsioon!C18=0,"",Eksplikatsioon!C18)</f>
        <v>ÜÜRITAV PIND</v>
      </c>
      <c r="D17" s="23" t="str">
        <f>IF(Eksplikatsioon!D18=0,"",Eksplikatsioon!D18)</f>
        <v>Abiruum</v>
      </c>
      <c r="E17" s="58">
        <f>IF(Eksplikatsioon!F18=0,"",Eksplikatsioon!F18)</f>
        <v>17.600000000000001</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25">
      <c r="A18" s="23" t="str">
        <f>IF(Eksplikatsioon!A19=0,"",Eksplikatsioon!A19)</f>
        <v>00</v>
      </c>
      <c r="B18" s="60" t="str">
        <f>IF(Eksplikatsioon!B19=0,"",Eksplikatsioon!B19)</f>
        <v>015</v>
      </c>
      <c r="C18" s="23" t="str">
        <f>IF(Eksplikatsioon!C19=0,"",Eksplikatsioon!C19)</f>
        <v>ÜÜRITAV PIND</v>
      </c>
      <c r="D18" s="23" t="str">
        <f>IF(Eksplikatsioon!D19=0,"",Eksplikatsioon!D19)</f>
        <v>Eesruum</v>
      </c>
      <c r="E18" s="58">
        <f>IF(Eksplikatsioon!F19=0,"",Eksplikatsioon!F19)</f>
        <v>1.9</v>
      </c>
      <c r="F18" s="23" t="str">
        <f>IF(Eksplikatsioon!H19=0,"",Eksplikatsioon!H19)</f>
        <v/>
      </c>
      <c r="G18" s="23" t="str">
        <f>IF(Eksplikatsioon!J19=0,"",Eksplikatsioon!J19)</f>
        <v>Ühiskasutuses korruse pind</v>
      </c>
      <c r="H18" s="23" t="str">
        <f>IF(Eksplikatsioon!K19=0,"",Eksplikatsioon!K19)</f>
        <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25">
      <c r="A19" s="23" t="str">
        <f>IF(Eksplikatsioon!A20=0,"",Eksplikatsioon!A20)</f>
        <v>00</v>
      </c>
      <c r="B19" s="60" t="str">
        <f>IF(Eksplikatsioon!B20=0,"",Eksplikatsioon!B20)</f>
        <v>016</v>
      </c>
      <c r="C19" s="23" t="str">
        <f>IF(Eksplikatsioon!C20=0,"",Eksplikatsioon!C20)</f>
        <v>TEHNOPIND</v>
      </c>
      <c r="D19" s="23" t="str">
        <f>IF(Eksplikatsioon!D20=0,"",Eksplikatsioon!D20)</f>
        <v>Hoolderuum</v>
      </c>
      <c r="E19" s="58">
        <f>IF(Eksplikatsioon!F20=0,"",Eksplikatsioon!F20)</f>
        <v>13.1</v>
      </c>
      <c r="F19" s="23" t="str">
        <f>IF(Eksplikatsioon!H20=0,"",Eksplikatsioon!H20)</f>
        <v/>
      </c>
      <c r="G19" s="23" t="str">
        <f>IF(Eksplikatsioon!J20=0,"",Eksplikatsioon!J20)</f>
        <v/>
      </c>
      <c r="H19" s="23" t="str">
        <f>IF(Eksplikatsioon!K20=0,"",Eksplikatsioon!K20)</f>
        <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25">
      <c r="A20" s="23" t="str">
        <f>IF(Eksplikatsioon!A21=0,"",Eksplikatsioon!A21)</f>
        <v>00</v>
      </c>
      <c r="B20" s="60" t="str">
        <f>IF(Eksplikatsioon!B21=0,"",Eksplikatsioon!B21)</f>
        <v>017</v>
      </c>
      <c r="C20" s="23" t="str">
        <f>IF(Eksplikatsioon!C21=0,"",Eksplikatsioon!C21)</f>
        <v>ÜÜRITAV PIND</v>
      </c>
      <c r="D20" s="23" t="str">
        <f>IF(Eksplikatsioon!D21=0,"",Eksplikatsioon!D21)</f>
        <v>WC</v>
      </c>
      <c r="E20" s="58">
        <f>IF(Eksplikatsioon!F21=0,"",Eksplikatsioon!F21)</f>
        <v>2.2999999999999998</v>
      </c>
      <c r="F20" s="23" t="str">
        <f>IF(Eksplikatsioon!H21=0,"",Eksplikatsioon!H21)</f>
        <v/>
      </c>
      <c r="G20" s="23" t="str">
        <f>IF(Eksplikatsioon!J21=0,"",Eksplikatsioon!J21)</f>
        <v>Ühiskasutuses korruse pind</v>
      </c>
      <c r="H20" s="23" t="str">
        <f>IF(Eksplikatsioon!K21=0,"",Eksplikatsioon!K21)</f>
        <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25">
      <c r="A21" s="23" t="str">
        <f>IF(Eksplikatsioon!A22=0,"",Eksplikatsioon!A22)</f>
        <v>00</v>
      </c>
      <c r="B21" s="60" t="str">
        <f>IF(Eksplikatsioon!B22=0,"",Eksplikatsioon!B22)</f>
        <v>018</v>
      </c>
      <c r="C21" s="23" t="str">
        <f>IF(Eksplikatsioon!C22=0,"",Eksplikatsioon!C22)</f>
        <v>ÜÜRITAV PIND</v>
      </c>
      <c r="D21" s="23" t="str">
        <f>IF(Eksplikatsioon!D22=0,"",Eksplikatsioon!D22)</f>
        <v>Arhiiv</v>
      </c>
      <c r="E21" s="58">
        <f>IF(Eksplikatsioon!F22=0,"",Eksplikatsioon!F22)</f>
        <v>54</v>
      </c>
      <c r="F21" s="23" t="str">
        <f>IF(Eksplikatsioon!H22=0,"",Eksplikatsioon!H22)</f>
        <v/>
      </c>
      <c r="G21" s="23" t="str">
        <f>IF(Eksplikatsioon!J22=0,"",Eksplikatsioon!J22)</f>
        <v>Ainukasutuses pind</v>
      </c>
      <c r="H21" s="23" t="str">
        <f>IF(Eksplikatsioon!K22=0,"",Eksplikatsioon!K22)</f>
        <v>Aktiivne vakantsus</v>
      </c>
      <c r="I21" s="23" t="str">
        <f>IF(Eksplikatsioon!L22=0,"",Eksplikatsioon!L22)</f>
        <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25">
      <c r="A22" s="23" t="str">
        <f>IF(Eksplikatsioon!A23=0,"",Eksplikatsioon!A23)</f>
        <v>00</v>
      </c>
      <c r="B22" s="60" t="str">
        <f>IF(Eksplikatsioon!B23=0,"",Eksplikatsioon!B23)</f>
        <v>019</v>
      </c>
      <c r="C22" s="23" t="str">
        <f>IF(Eksplikatsioon!C23=0,"",Eksplikatsioon!C23)</f>
        <v>ÜÜRITAV PIND</v>
      </c>
      <c r="D22" s="23" t="str">
        <f>IF(Eksplikatsioon!D23=0,"",Eksplikatsioon!D23)</f>
        <v>Koridor</v>
      </c>
      <c r="E22" s="58">
        <f>IF(Eksplikatsioon!F23=0,"",Eksplikatsioon!F23)</f>
        <v>18.600000000000001</v>
      </c>
      <c r="F22" s="23" t="str">
        <f>IF(Eksplikatsioon!H23=0,"",Eksplikatsioon!H23)</f>
        <v>Põlva Maakonna Spordiliit 10%, aktiivne vakantsus 90%</v>
      </c>
      <c r="G22" s="23" t="str">
        <f>IF(Eksplikatsioon!J23=0,"",Eksplikatsioon!J23)</f>
        <v>Ühiskasutuses muu pind (muu)</v>
      </c>
      <c r="H22" s="23" t="str">
        <f>IF(Eksplikatsioon!K23=0,"",Eksplikatsioon!K23)</f>
        <v/>
      </c>
      <c r="I22" s="23" t="str">
        <f>IF(Eksplikatsioon!L23=0,"",Eksplikatsioon!L23)</f>
        <v/>
      </c>
      <c r="J22" s="31">
        <f>IFERROR(IF($G22=Tabelid!$L$6,Eksplikatsioon!O23/SUM(Eksplikatsioon!$O23:'Eksplikatsioon'!$AG23),IF($G22=Tabelid!$L$4,IFERROR(SUMIFS($E:$E,$G:$G,Tabelid!$L$1,$C:$C,Tabelid!$J$4,$H:$H,J$2,$A:$A,$A22)/SUMIFS($E:$E,$G:$G,Tabelid!$L$1,$C:$C,Tabelid!$J$4,$A:$A,$A22),0),IF($G22=Tabelid!$L$5,IFERROR(SUMIFS($E:$E,$G:$G,Tabelid!$L$1,$C:$C,Tabelid!$J$4,$H:$H,J$2)/SUMIFS($E:$E,$G:$G,Tabelid!$L$1,$C:$C,Tabelid!$J$4),0),""))),"")</f>
        <v>0</v>
      </c>
      <c r="K22" s="31">
        <f>IFERROR(IF($G22=Tabelid!$L$6,Eksplikatsioon!P23/SUM(Eksplikatsioon!$O23:'Eksplikatsioon'!$AG23),IF($G22=Tabelid!$L$4,IFERROR(SUMIFS($E:$E,$G:$G,Tabelid!$L$1,$C:$C,Tabelid!$J$4,$H:$H,K$2,$A:$A,$A22)/SUMIFS($E:$E,$G:$G,Tabelid!$L$1,$C:$C,Tabelid!$J$4,$A:$A,$A22),0),IF($G22=Tabelid!$L$5,IFERROR(SUMIFS($E:$E,$G:$G,Tabelid!$L$1,$C:$C,Tabelid!$J$4,$H:$H,K$2)/SUMIFS($E:$E,$G:$G,Tabelid!$L$1,$C:$C,Tabelid!$J$4),0),""))),"")</f>
        <v>0</v>
      </c>
      <c r="L22" s="31">
        <f>IFERROR(IF($G22=Tabelid!$L$6,Eksplikatsioon!Q23/SUM(Eksplikatsioon!$O23:'Eksplikatsioon'!$AG23),IF($G22=Tabelid!$L$4,IFERROR(SUMIFS($E:$E,$G:$G,Tabelid!$L$1,$C:$C,Tabelid!$J$4,$H:$H,L$2,$A:$A,$A22)/SUMIFS($E:$E,$G:$G,Tabelid!$L$1,$C:$C,Tabelid!$J$4,$A:$A,$A22),0),IF($G22=Tabelid!$L$5,IFERROR(SUMIFS($E:$E,$G:$G,Tabelid!$L$1,$C:$C,Tabelid!$J$4,$H:$H,L$2)/SUMIFS($E:$E,$G:$G,Tabelid!$L$1,$C:$C,Tabelid!$J$4),0),""))),"")</f>
        <v>0</v>
      </c>
      <c r="M22" s="31">
        <f>IFERROR(IF($G22=Tabelid!$L$6,Eksplikatsioon!R23/SUM(Eksplikatsioon!$O23:'Eksplikatsioon'!$AG23),IF($G22=Tabelid!$L$4,IFERROR(SUMIFS($E:$E,$G:$G,Tabelid!$L$1,$C:$C,Tabelid!$J$4,$H:$H,M$2,$A:$A,$A22)/SUMIFS($E:$E,$G:$G,Tabelid!$L$1,$C:$C,Tabelid!$J$4,$A:$A,$A22),0),IF($G22=Tabelid!$L$5,IFERROR(SUMIFS($E:$E,$G:$G,Tabelid!$L$1,$C:$C,Tabelid!$J$4,$H:$H,M$2)/SUMIFS($E:$E,$G:$G,Tabelid!$L$1,$C:$C,Tabelid!$J$4),0),""))),"")</f>
        <v>0</v>
      </c>
      <c r="N22" s="31">
        <f>IFERROR(IF($G22=Tabelid!$L$6,Eksplikatsioon!S23/SUM(Eksplikatsioon!$O23:'Eksplikatsioon'!$AG23),IF($G22=Tabelid!$L$4,IFERROR(SUMIFS($E:$E,$G:$G,Tabelid!$L$1,$C:$C,Tabelid!$J$4,$H:$H,N$2,$A:$A,$A22)/SUMIFS($E:$E,$G:$G,Tabelid!$L$1,$C:$C,Tabelid!$J$4,$A:$A,$A22),0),IF($G22=Tabelid!$L$5,IFERROR(SUMIFS($E:$E,$G:$G,Tabelid!$L$1,$C:$C,Tabelid!$J$4,$H:$H,N$2)/SUMIFS($E:$E,$G:$G,Tabelid!$L$1,$C:$C,Tabelid!$J$4),0),""))),"")</f>
        <v>0</v>
      </c>
      <c r="O22" s="31">
        <f>IFERROR(IF($G22=Tabelid!$L$6,Eksplikatsioon!T23/SUM(Eksplikatsioon!$O23:'Eksplikatsioon'!$AG23),IF($G22=Tabelid!$L$4,IFERROR(SUMIFS($E:$E,$G:$G,Tabelid!$L$1,$C:$C,Tabelid!$J$4,$H:$H,O$2,$A:$A,$A22)/SUMIFS($E:$E,$G:$G,Tabelid!$L$1,$C:$C,Tabelid!$J$4,$A:$A,$A22),0),IF($G22=Tabelid!$L$5,IFERROR(SUMIFS($E:$E,$G:$G,Tabelid!$L$1,$C:$C,Tabelid!$J$4,$H:$H,O$2)/SUMIFS($E:$E,$G:$G,Tabelid!$L$1,$C:$C,Tabelid!$J$4),0),""))),"")</f>
        <v>0.1</v>
      </c>
      <c r="P22" s="31">
        <f>IFERROR(IF($G22=Tabelid!$L$6,Eksplikatsioon!U23/SUM(Eksplikatsioon!$O23:'Eksplikatsioon'!$AG23),IF($G22=Tabelid!$L$4,IFERROR(SUMIFS($E:$E,$G:$G,Tabelid!$L$1,$C:$C,Tabelid!$J$4,$H:$H,P$2,$A:$A,$A22)/SUMIFS($E:$E,$G:$G,Tabelid!$L$1,$C:$C,Tabelid!$J$4,$A:$A,$A22),0),IF($G22=Tabelid!$L$5,IFERROR(SUMIFS($E:$E,$G:$G,Tabelid!$L$1,$C:$C,Tabelid!$J$4,$H:$H,P$2)/SUMIFS($E:$E,$G:$G,Tabelid!$L$1,$C:$C,Tabelid!$J$4),0),""))),"")</f>
        <v>0</v>
      </c>
      <c r="Q22" s="31">
        <f>IFERROR(IF($G22=Tabelid!$L$6,Eksplikatsioon!V23/SUM(Eksplikatsioon!$O23:'Eksplikatsioon'!$AG23),IF($G22=Tabelid!$L$4,IFERROR(SUMIFS($E:$E,$G:$G,Tabelid!$L$1,$C:$C,Tabelid!$J$4,$H:$H,Q$2,$A:$A,$A22)/SUMIFS($E:$E,$G:$G,Tabelid!$L$1,$C:$C,Tabelid!$J$4,$A:$A,$A22),0),IF($G22=Tabelid!$L$5,IFERROR(SUMIFS($E:$E,$G:$G,Tabelid!$L$1,$C:$C,Tabelid!$J$4,$H:$H,Q$2)/SUMIFS($E:$E,$G:$G,Tabelid!$L$1,$C:$C,Tabelid!$J$4),0),""))),"")</f>
        <v>0</v>
      </c>
      <c r="R22" s="31">
        <f>IFERROR(IF($G22=Tabelid!$L$6,Eksplikatsioon!W23/SUM(Eksplikatsioon!$O23:'Eksplikatsioon'!$AG23),IF($G22=Tabelid!$L$4,IFERROR(SUMIFS($E:$E,$G:$G,Tabelid!$L$1,$C:$C,Tabelid!$J$4,$H:$H,R$2,$A:$A,$A22)/SUMIFS($E:$E,$G:$G,Tabelid!$L$1,$C:$C,Tabelid!$J$4,$A:$A,$A22),0),IF($G22=Tabelid!$L$5,IFERROR(SUMIFS($E:$E,$G:$G,Tabelid!$L$1,$C:$C,Tabelid!$J$4,$H:$H,R$2)/SUMIFS($E:$E,$G:$G,Tabelid!$L$1,$C:$C,Tabelid!$J$4),0),""))),"")</f>
        <v>0.9</v>
      </c>
      <c r="S22" s="31">
        <f>IFERROR(IF($G22=Tabelid!$L$6,Eksplikatsioon!X23/SUM(Eksplikatsioon!$O23:'Eksplikatsioon'!$AG23),IF($G22=Tabelid!$L$4,IFERROR(SUMIFS($E:$E,$G:$G,Tabelid!$L$1,$C:$C,Tabelid!$J$4,$H:$H,S$2,$A:$A,$A22)/SUMIFS($E:$E,$G:$G,Tabelid!$L$1,$C:$C,Tabelid!$J$4,$A:$A,$A22),0),IF($G22=Tabelid!$L$5,IFERROR(SUMIFS($E:$E,$G:$G,Tabelid!$L$1,$C:$C,Tabelid!$J$4,$H:$H,S$2)/SUMIFS($E:$E,$G:$G,Tabelid!$L$1,$C:$C,Tabelid!$J$4),0),""))),"")</f>
        <v>0</v>
      </c>
      <c r="T22" s="31">
        <f>IFERROR(IF($G22=Tabelid!$L$6,Eksplikatsioon!Y23/SUM(Eksplikatsioon!$O23:'Eksplikatsioon'!$AG23),IF($G22=Tabelid!$L$4,IFERROR(SUMIFS($E:$E,$G:$G,Tabelid!$L$1,$C:$C,Tabelid!$J$4,$H:$H,T$2,$A:$A,$A22)/SUMIFS($E:$E,$G:$G,Tabelid!$L$1,$C:$C,Tabelid!$J$4,$A:$A,$A22),0),IF($G22=Tabelid!$L$5,IFERROR(SUMIFS($E:$E,$G:$G,Tabelid!$L$1,$C:$C,Tabelid!$J$4,$H:$H,T$2)/SUMIFS($E:$E,$G:$G,Tabelid!$L$1,$C:$C,Tabelid!$J$4),0),""))),"")</f>
        <v>0</v>
      </c>
      <c r="U22" s="31">
        <f>IFERROR(IF($G22=Tabelid!$L$6,Eksplikatsioon!Z23/SUM(Eksplikatsioon!$O23:'Eksplikatsioon'!$AG23),IF($G22=Tabelid!$L$4,IFERROR(SUMIFS($E:$E,$G:$G,Tabelid!$L$1,$C:$C,Tabelid!$J$4,$H:$H,U$2,$A:$A,$A22)/SUMIFS($E:$E,$G:$G,Tabelid!$L$1,$C:$C,Tabelid!$J$4,$A:$A,$A22),0),IF($G22=Tabelid!$L$5,IFERROR(SUMIFS($E:$E,$G:$G,Tabelid!$L$1,$C:$C,Tabelid!$J$4,$H:$H,U$2)/SUMIFS($E:$E,$G:$G,Tabelid!$L$1,$C:$C,Tabelid!$J$4),0),""))),"")</f>
        <v>0</v>
      </c>
      <c r="V22" s="31">
        <f>IFERROR(IF($G22=Tabelid!$L$6,Eksplikatsioon!AA23/SUM(Eksplikatsioon!$O23:'Eksplikatsioon'!$AG23),IF($G22=Tabelid!$L$4,IFERROR(SUMIFS($E:$E,$G:$G,Tabelid!$L$1,$C:$C,Tabelid!$J$4,$H:$H,V$2,$A:$A,$A22)/SUMIFS($E:$E,$G:$G,Tabelid!$L$1,$C:$C,Tabelid!$J$4,$A:$A,$A22),0),IF($G22=Tabelid!$L$5,IFERROR(SUMIFS($E:$E,$G:$G,Tabelid!$L$1,$C:$C,Tabelid!$J$4,$H:$H,V$2)/SUMIFS($E:$E,$G:$G,Tabelid!$L$1,$C:$C,Tabelid!$J$4),0),""))),"")</f>
        <v>0</v>
      </c>
      <c r="W22" s="31">
        <f>IFERROR(IF($G22=Tabelid!$L$6,Eksplikatsioon!AB23/SUM(Eksplikatsioon!$O23:'Eksplikatsioon'!$AG23),IF($G22=Tabelid!$L$4,IFERROR(SUMIFS($E:$E,$G:$G,Tabelid!$L$1,$C:$C,Tabelid!$J$4,$H:$H,W$2,$A:$A,$A22)/SUMIFS($E:$E,$G:$G,Tabelid!$L$1,$C:$C,Tabelid!$J$4,$A:$A,$A22),0),IF($G22=Tabelid!$L$5,IFERROR(SUMIFS($E:$E,$G:$G,Tabelid!$L$1,$C:$C,Tabelid!$J$4,$H:$H,W$2)/SUMIFS($E:$E,$G:$G,Tabelid!$L$1,$C:$C,Tabelid!$J$4),0),""))),"")</f>
        <v>0</v>
      </c>
      <c r="X22" s="31">
        <f>IFERROR(IF($G22=Tabelid!$L$6,Eksplikatsioon!AC23/SUM(Eksplikatsioon!$O23:'Eksplikatsioon'!$AG23),IF($G22=Tabelid!$L$4,IFERROR(SUMIFS($E:$E,$G:$G,Tabelid!$L$1,$C:$C,Tabelid!$J$4,$H:$H,X$2,$A:$A,$A22)/SUMIFS($E:$E,$G:$G,Tabelid!$L$1,$C:$C,Tabelid!$J$4,$A:$A,$A22),0),IF($G22=Tabelid!$L$5,IFERROR(SUMIFS($E:$E,$G:$G,Tabelid!$L$1,$C:$C,Tabelid!$J$4,$H:$H,X$2)/SUMIFS($E:$E,$G:$G,Tabelid!$L$1,$C:$C,Tabelid!$J$4),0),""))),"")</f>
        <v>0</v>
      </c>
      <c r="Y22" s="31">
        <f>IFERROR(IF($G22=Tabelid!$L$6,Eksplikatsioon!AD23/SUM(Eksplikatsioon!$O23:'Eksplikatsioon'!$AG23),IF($G22=Tabelid!$L$4,IFERROR(SUMIFS($E:$E,$G:$G,Tabelid!$L$1,$C:$C,Tabelid!$J$4,$H:$H,Y$2,$A:$A,$A22)/SUMIFS($E:$E,$G:$G,Tabelid!$L$1,$C:$C,Tabelid!$J$4,$A:$A,$A22),0),IF($G22=Tabelid!$L$5,IFERROR(SUMIFS($E:$E,$G:$G,Tabelid!$L$1,$C:$C,Tabelid!$J$4,$H:$H,Y$2)/SUMIFS($E:$E,$G:$G,Tabelid!$L$1,$C:$C,Tabelid!$J$4),0),""))),"")</f>
        <v>0</v>
      </c>
      <c r="Z22" s="31">
        <f>IFERROR(IF($G22=Tabelid!$L$6,Eksplikatsioon!AE23/SUM(Eksplikatsioon!$O23:'Eksplikatsioon'!$AG23),IF($G22=Tabelid!$L$4,IFERROR(SUMIFS($E:$E,$G:$G,Tabelid!$L$1,$C:$C,Tabelid!$J$4,$H:$H,Z$2,$A:$A,$A22)/SUMIFS($E:$E,$G:$G,Tabelid!$L$1,$C:$C,Tabelid!$J$4,$A:$A,$A22),0),IF($G22=Tabelid!$L$5,IFERROR(SUMIFS($E:$E,$G:$G,Tabelid!$L$1,$C:$C,Tabelid!$J$4,$H:$H,Z$2)/SUMIFS($E:$E,$G:$G,Tabelid!$L$1,$C:$C,Tabelid!$J$4),0),""))),"")</f>
        <v>0</v>
      </c>
      <c r="AA22" s="31">
        <f>IFERROR(IF($G22=Tabelid!$L$6,Eksplikatsioon!AF23/SUM(Eksplikatsioon!$O23:'Eksplikatsioon'!$AG23),IF($G22=Tabelid!$L$4,IFERROR(SUMIFS($E:$E,$G:$G,Tabelid!$L$1,$C:$C,Tabelid!$J$4,$H:$H,AA$2,$A:$A,$A22)/SUMIFS($E:$E,$G:$G,Tabelid!$L$1,$C:$C,Tabelid!$J$4,$A:$A,$A22),0),IF($G22=Tabelid!$L$5,IFERROR(SUMIFS($E:$E,$G:$G,Tabelid!$L$1,$C:$C,Tabelid!$J$4,$H:$H,AA$2)/SUMIFS($E:$E,$G:$G,Tabelid!$L$1,$C:$C,Tabelid!$J$4),0),""))),"")</f>
        <v>0</v>
      </c>
      <c r="AB22" s="31">
        <f>IFERROR(IF($G22=Tabelid!$L$6,Eksplikatsioon!AG23/SUM(Eksplikatsioon!$O23:'Eksplikatsioon'!$AG23),IF($G22=Tabelid!$L$4,IFERROR(SUMIFS($E:$E,$G:$G,Tabelid!$L$1,$C:$C,Tabelid!$J$4,$H:$H,AB$2,$A:$A,$A22)/SUMIFS($E:$E,$G:$G,Tabelid!$L$1,$C:$C,Tabelid!$J$4,$A:$A,$A22),0),IF($G22=Tabelid!$L$5,IFERROR(SUMIFS($E:$E,$G:$G,Tabelid!$L$1,$C:$C,Tabelid!$J$4,$H:$H,AB$2)/SUMIFS($E:$E,$G:$G,Tabelid!$L$1,$C:$C,Tabelid!$J$4),0),""))),"")</f>
        <v>0</v>
      </c>
      <c r="AC22" s="31">
        <f>IFERROR(IF($G22=Tabelid!$L$6,$E22*J22,IFERROR($E22*J22/SUM($J22:$AB22)*(Eksplikatsioon!O23)/SUMPRODUCT($J22:$AB22,Eksplikatsioon!$O23:$AG23),"")),"")</f>
        <v>0</v>
      </c>
      <c r="AD22" s="31">
        <f>IFERROR(IF($G22=Tabelid!$L$6,$E22*K22,IFERROR($E22*K22/SUM($J22:$AB22)*(Eksplikatsioon!P23)/SUMPRODUCT($J22:$AB22,Eksplikatsioon!$O23:$AG23),"")),"")</f>
        <v>0</v>
      </c>
      <c r="AE22" s="31">
        <f>IFERROR(IF($G22=Tabelid!$L$6,$E22*L22,IFERROR($E22*L22/SUM($J22:$AB22)*(Eksplikatsioon!Q23)/SUMPRODUCT($J22:$AB22,Eksplikatsioon!$O23:$AG23),"")),"")</f>
        <v>0</v>
      </c>
      <c r="AF22" s="31">
        <f>IFERROR(IF($G22=Tabelid!$L$6,$E22*M22,IFERROR($E22*M22/SUM($J22:$AB22)*(Eksplikatsioon!R23)/SUMPRODUCT($J22:$AB22,Eksplikatsioon!$O23:$AG23),"")),"")</f>
        <v>0</v>
      </c>
      <c r="AG22" s="31">
        <f>IFERROR(IF($G22=Tabelid!$L$6,$E22*N22,IFERROR($E22*N22/SUM($J22:$AB22)*(Eksplikatsioon!S23)/SUMPRODUCT($J22:$AB22,Eksplikatsioon!$O23:$AG23),"")),"")</f>
        <v>0</v>
      </c>
      <c r="AH22" s="31">
        <f>IFERROR(IF($G22=Tabelid!$L$6,$E22*O22,IFERROR($E22*O22/SUM($J22:$AB22)*(Eksplikatsioon!T23)/SUMPRODUCT($J22:$AB22,Eksplikatsioon!$O23:$AG23),"")),"")</f>
        <v>1.8600000000000003</v>
      </c>
      <c r="AI22" s="31">
        <f>IFERROR(IF($G22=Tabelid!$L$6,$E22*P22,IFERROR($E22*P22/SUM($J22:$AB22)*(Eksplikatsioon!U23)/SUMPRODUCT($J22:$AB22,Eksplikatsioon!$O23:$AG23),"")),"")</f>
        <v>0</v>
      </c>
      <c r="AJ22" s="31">
        <f>IFERROR(IF($G22=Tabelid!$L$6,$E22*Q22,IFERROR($E22*Q22/SUM($J22:$AB22)*(Eksplikatsioon!V23)/SUMPRODUCT($J22:$AB22,Eksplikatsioon!$O23:$AG23),"")),"")</f>
        <v>0</v>
      </c>
      <c r="AK22" s="31">
        <f>IFERROR(IF($G22=Tabelid!$L$6,$E22*R22,IFERROR($E22*R22/SUM($J22:$AB22)*(Eksplikatsioon!W23)/SUMPRODUCT($J22:$AB22,Eksplikatsioon!$O23:$AG23),"")),"")</f>
        <v>16.740000000000002</v>
      </c>
      <c r="AL22" s="31">
        <f>IFERROR(IF($G22=Tabelid!$L$6,$E22*S22,IFERROR($E22*S22/SUM($J22:$AB22)*(Eksplikatsioon!X23)/SUMPRODUCT($J22:$AB22,Eksplikatsioon!$O23:$AG23),"")),"")</f>
        <v>0</v>
      </c>
      <c r="AM22" s="31">
        <f>IFERROR(IF($G22=Tabelid!$L$6,$E22*T22,IFERROR($E22*T22/SUM($J22:$AB22)*(Eksplikatsioon!Y23)/SUMPRODUCT($J22:$AB22,Eksplikatsioon!$O23:$AG23),"")),"")</f>
        <v>0</v>
      </c>
      <c r="AN22" s="31">
        <f>IFERROR(IF($G22=Tabelid!$L$6,$E22*U22,IFERROR($E22*U22/SUM($J22:$AB22)*(Eksplikatsioon!Z23)/SUMPRODUCT($J22:$AB22,Eksplikatsioon!$O23:$AG23),"")),"")</f>
        <v>0</v>
      </c>
      <c r="AO22" s="31">
        <f>IFERROR(IF($G22=Tabelid!$L$6,$E22*V22,IFERROR($E22*V22/SUM($J22:$AB22)*(Eksplikatsioon!AA23)/SUMPRODUCT($J22:$AB22,Eksplikatsioon!$O23:$AG23),"")),"")</f>
        <v>0</v>
      </c>
      <c r="AP22" s="31">
        <f>IFERROR(IF($G22=Tabelid!$L$6,$E22*W22,IFERROR($E22*W22/SUM($J22:$AB22)*(Eksplikatsioon!AB23)/SUMPRODUCT($J22:$AB22,Eksplikatsioon!$O23:$AG23),"")),"")</f>
        <v>0</v>
      </c>
      <c r="AQ22" s="31">
        <f>IFERROR(IF($G22=Tabelid!$L$6,$E22*X22,IFERROR($E22*X22/SUM($J22:$AB22)*(Eksplikatsioon!AC23)/SUMPRODUCT($J22:$AB22,Eksplikatsioon!$O23:$AG23),"")),"")</f>
        <v>0</v>
      </c>
      <c r="AR22" s="31">
        <f>IFERROR(IF($G22=Tabelid!$L$6,$E22*Y22,IFERROR($E22*Y22/SUM($J22:$AB22)*(Eksplikatsioon!AD23)/SUMPRODUCT($J22:$AB22,Eksplikatsioon!$O23:$AG23),"")),"")</f>
        <v>0</v>
      </c>
      <c r="AS22" s="31">
        <f>IFERROR(IF($G22=Tabelid!$L$6,$E22*Z22,IFERROR($E22*Z22/SUM($J22:$AB22)*(Eksplikatsioon!AE23)/SUMPRODUCT($J22:$AB22,Eksplikatsioon!$O23:$AG23),"")),"")</f>
        <v>0</v>
      </c>
      <c r="AT22" s="31">
        <f>IFERROR(IF($G22=Tabelid!$L$6,$E22*AA22,IFERROR($E22*AA22/SUM($J22:$AB22)*(Eksplikatsioon!AF23)/SUMPRODUCT($J22:$AB22,Eksplikatsioon!$O23:$AG23),"")),"")</f>
        <v>0</v>
      </c>
      <c r="AU22" s="31">
        <f>IFERROR(IF($G22=Tabelid!$L$6,$E22*AB22,IFERROR($E22*AB22/SUM($J22:$AB22)*(Eksplikatsioon!AG23)/SUMPRODUCT($J22:$AB22,Eksplikatsioon!$O23:$AG23),"")),"")</f>
        <v>0</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25">
      <c r="A23" s="23" t="str">
        <f>IF(Eksplikatsioon!A24=0,"",Eksplikatsioon!A24)</f>
        <v>00</v>
      </c>
      <c r="B23" s="60" t="str">
        <f>IF(Eksplikatsioon!B24=0,"",Eksplikatsioon!B24)</f>
        <v>020</v>
      </c>
      <c r="C23" s="23" t="str">
        <f>IF(Eksplikatsioon!C24=0,"",Eksplikatsioon!C24)</f>
        <v>ÜÜRITAV PIND</v>
      </c>
      <c r="D23" s="23" t="str">
        <f>IF(Eksplikatsioon!D24=0,"",Eksplikatsioon!D24)</f>
        <v>Abiruum</v>
      </c>
      <c r="E23" s="58">
        <f>IF(Eksplikatsioon!F24=0,"",Eksplikatsioon!F24)</f>
        <v>8.9</v>
      </c>
      <c r="F23" s="23" t="str">
        <f>IF(Eksplikatsioon!H24=0,"",Eksplikatsioon!H24)</f>
        <v/>
      </c>
      <c r="G23" s="23" t="str">
        <f>IF(Eksplikatsioon!J24=0,"",Eksplikatsioon!J24)</f>
        <v>Ainukasutuses pind</v>
      </c>
      <c r="H23" s="23" t="str">
        <f>IF(Eksplikatsioon!K24=0,"",Eksplikatsioon!K24)</f>
        <v>Põlvamaa Maakonna Spordiliit</v>
      </c>
      <c r="I23" s="23" t="str">
        <f>IF(Eksplikatsioon!L24=0,"",Eksplikatsioon!L24)</f>
        <v>KESK20POLVA_14</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25">
      <c r="A24" s="23" t="str">
        <f>IF(Eksplikatsioon!A25=0,"",Eksplikatsioon!A25)</f>
        <v>00</v>
      </c>
      <c r="B24" s="60" t="str">
        <f>IF(Eksplikatsioon!B25=0,"",Eksplikatsioon!B25)</f>
        <v>021</v>
      </c>
      <c r="C24" s="23" t="str">
        <f>IF(Eksplikatsioon!C25=0,"",Eksplikatsioon!C25)</f>
        <v>PASSIIVNE VAKANTSUS</v>
      </c>
      <c r="D24" s="23" t="str">
        <f>IF(Eksplikatsioon!D25=0,"",Eksplikatsioon!D25)</f>
        <v/>
      </c>
      <c r="E24" s="58">
        <f>IF(Eksplikatsioon!F25=0,"",Eksplikatsioon!F25)</f>
        <v>9.6</v>
      </c>
      <c r="F24" s="23" t="str">
        <f>IF(Eksplikatsioon!H25=0,"",Eksplikatsioon!H25)</f>
        <v/>
      </c>
      <c r="G24" s="23" t="str">
        <f>IF(Eksplikatsioon!J25=0,"",Eksplikatsioon!J25)</f>
        <v/>
      </c>
      <c r="H24" s="23" t="str">
        <f>IF(Eksplikatsioon!K25=0,"",Eksplikatsioon!K25)</f>
        <v/>
      </c>
      <c r="I24" s="23" t="str">
        <f>IF(Eksplikatsioon!L25=0,"",Eksplikatsioon!L25)</f>
        <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25">
      <c r="A25" s="23" t="str">
        <f>IF(Eksplikatsioon!A26=0,"",Eksplikatsioon!A26)</f>
        <v>00</v>
      </c>
      <c r="B25" s="60" t="str">
        <f>IF(Eksplikatsioon!B26=0,"",Eksplikatsioon!B26)</f>
        <v>022</v>
      </c>
      <c r="C25" s="23" t="str">
        <f>IF(Eksplikatsioon!C26=0,"",Eksplikatsioon!C26)</f>
        <v>PASSIIVNE VAKANTSUS</v>
      </c>
      <c r="D25" s="23" t="str">
        <f>IF(Eksplikatsioon!D26=0,"",Eksplikatsioon!D26)</f>
        <v/>
      </c>
      <c r="E25" s="58">
        <f>IF(Eksplikatsioon!F26=0,"",Eksplikatsioon!F26)</f>
        <v>4.7</v>
      </c>
      <c r="F25" s="23" t="str">
        <f>IF(Eksplikatsioon!H26=0,"",Eksplikatsioon!H26)</f>
        <v/>
      </c>
      <c r="G25" s="23" t="str">
        <f>IF(Eksplikatsioon!J26=0,"",Eksplikatsioon!J26)</f>
        <v/>
      </c>
      <c r="H25" s="23" t="str">
        <f>IF(Eksplikatsioon!K26=0,"",Eksplikatsioon!K26)</f>
        <v/>
      </c>
      <c r="I25" s="23" t="str">
        <f>IF(Eksplikatsioon!L26=0,"",Eksplikatsioon!L26)</f>
        <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25">
      <c r="A26" s="23" t="str">
        <f>IF(Eksplikatsioon!A27=0,"",Eksplikatsioon!A27)</f>
        <v>00</v>
      </c>
      <c r="B26" s="60" t="str">
        <f>IF(Eksplikatsioon!B27=0,"",Eksplikatsioon!B27)</f>
        <v>023</v>
      </c>
      <c r="C26" s="23" t="str">
        <f>IF(Eksplikatsioon!C27=0,"",Eksplikatsioon!C27)</f>
        <v>TEHNOPIND</v>
      </c>
      <c r="D26" s="23" t="str">
        <f>IF(Eksplikatsioon!D27=0,"",Eksplikatsioon!D27)</f>
        <v>Soojasõlm</v>
      </c>
      <c r="E26" s="58">
        <f>IF(Eksplikatsioon!F27=0,"",Eksplikatsioon!F27)</f>
        <v>6.5</v>
      </c>
      <c r="F26" s="23" t="str">
        <f>IF(Eksplikatsioon!H27=0,"",Eksplikatsioon!H27)</f>
        <v/>
      </c>
      <c r="G26" s="23" t="str">
        <f>IF(Eksplikatsioon!J27=0,"",Eksplikatsioon!J27)</f>
        <v/>
      </c>
      <c r="H26" s="23" t="str">
        <f>IF(Eksplikatsioon!K27=0,"",Eksplikatsioon!K27)</f>
        <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25">
      <c r="A27" s="23" t="str">
        <f>IF(Eksplikatsioon!A28=0,"",Eksplikatsioon!A28)</f>
        <v>00</v>
      </c>
      <c r="B27" s="60" t="str">
        <f>IF(Eksplikatsioon!B28=0,"",Eksplikatsioon!B28)</f>
        <v>024</v>
      </c>
      <c r="C27" s="23" t="str">
        <f>IF(Eksplikatsioon!C28=0,"",Eksplikatsioon!C28)</f>
        <v>TEHNOPIND</v>
      </c>
      <c r="D27" s="23" t="str">
        <f>IF(Eksplikatsioon!D28=0,"",Eksplikatsioon!D28)</f>
        <v>Hoolderuum</v>
      </c>
      <c r="E27" s="58">
        <f>IF(Eksplikatsioon!F28=0,"",Eksplikatsioon!F28)</f>
        <v>2.2000000000000002</v>
      </c>
      <c r="F27" s="23" t="str">
        <f>IF(Eksplikatsioon!H28=0,"",Eksplikatsioon!H28)</f>
        <v/>
      </c>
      <c r="G27" s="23" t="str">
        <f>IF(Eksplikatsioon!J28=0,"",Eksplikatsioon!J28)</f>
        <v/>
      </c>
      <c r="H27" s="23" t="str">
        <f>IF(Eksplikatsioon!K28=0,"",Eksplikatsioon!K28)</f>
        <v/>
      </c>
      <c r="I27" s="23" t="str">
        <f>IF(Eksplikatsioon!L28=0,"",Eksplikatsioon!L28)</f>
        <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25">
      <c r="A28" s="23" t="str">
        <f>IF(Eksplikatsioon!A29=0,"",Eksplikatsioon!A29)</f>
        <v>00</v>
      </c>
      <c r="B28" s="60" t="str">
        <f>IF(Eksplikatsioon!B29=0,"",Eksplikatsioon!B29)</f>
        <v>025</v>
      </c>
      <c r="C28" s="23" t="str">
        <f>IF(Eksplikatsioon!C29=0,"",Eksplikatsioon!C29)</f>
        <v>TEHNOPIND</v>
      </c>
      <c r="D28" s="23" t="str">
        <f>IF(Eksplikatsioon!D29=0,"",Eksplikatsioon!D29)</f>
        <v>Vent ruum</v>
      </c>
      <c r="E28" s="58">
        <f>IF(Eksplikatsioon!F29=0,"",Eksplikatsioon!F29)</f>
        <v>23.6</v>
      </c>
      <c r="F28" s="23" t="str">
        <f>IF(Eksplikatsioon!H29=0,"",Eksplikatsioon!H29)</f>
        <v/>
      </c>
      <c r="G28" s="23" t="str">
        <f>IF(Eksplikatsioon!J29=0,"",Eksplikatsioon!J29)</f>
        <v/>
      </c>
      <c r="H28" s="23" t="str">
        <f>IF(Eksplikatsioon!K29=0,"",Eksplikatsioon!K29)</f>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25">
      <c r="A29" s="23" t="str">
        <f>IF(Eksplikatsioon!A30=0,"",Eksplikatsioon!A30)</f>
        <v>01</v>
      </c>
      <c r="B29" s="60" t="str">
        <f>IF(Eksplikatsioon!B30=0,"",Eksplikatsioon!B30)</f>
        <v>101</v>
      </c>
      <c r="C29" s="23" t="str">
        <f>IF(Eksplikatsioon!C30=0,"",Eksplikatsioon!C30)</f>
        <v>VERTIKAALSETE ÜHENDUSTEEDE PIND</v>
      </c>
      <c r="D29" s="23" t="str">
        <f>IF(Eksplikatsioon!D30=0,"",Eksplikatsioon!D30)</f>
        <v>Trepp/Trepikoda</v>
      </c>
      <c r="E29" s="58">
        <f>IF(Eksplikatsioon!F30=0,"",Eksplikatsioon!F30)</f>
        <v>14.2</v>
      </c>
      <c r="F29" s="23" t="str">
        <f>IF(Eksplikatsioon!H30=0,"",Eksplikatsioon!H30)</f>
        <v/>
      </c>
      <c r="G29" s="23" t="str">
        <f>IF(Eksplikatsioon!J30=0,"",Eksplikatsioon!J30)</f>
        <v/>
      </c>
      <c r="H29" s="23" t="str">
        <f>IF(Eksplikatsioon!K30=0,"",Eksplikatsioon!K30)</f>
        <v/>
      </c>
      <c r="I29" s="23" t="str">
        <f>IF(Eksplikatsioon!L30=0,"",Eksplikatsioon!L30)</f>
        <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25">
      <c r="A30" s="23" t="str">
        <f>IF(Eksplikatsioon!A31=0,"",Eksplikatsioon!A31)</f>
        <v>01</v>
      </c>
      <c r="B30" s="60" t="str">
        <f>IF(Eksplikatsioon!B31=0,"",Eksplikatsioon!B31)</f>
        <v>102</v>
      </c>
      <c r="C30" s="23" t="str">
        <f>IF(Eksplikatsioon!C31=0,"",Eksplikatsioon!C31)</f>
        <v>ÜÜRITAV PIND</v>
      </c>
      <c r="D30" s="23" t="str">
        <f>IF(Eksplikatsioon!D31=0,"",Eksplikatsioon!D31)</f>
        <v>Koridor</v>
      </c>
      <c r="E30" s="58">
        <f>IF(Eksplikatsioon!F31=0,"",Eksplikatsioon!F31)</f>
        <v>29.1</v>
      </c>
      <c r="F30" s="23" t="str">
        <f>IF(Eksplikatsioon!H31=0,"",Eksplikatsioon!H31)</f>
        <v/>
      </c>
      <c r="G30" s="23" t="str">
        <f>IF(Eksplikatsioon!J31=0,"",Eksplikatsioon!J31)</f>
        <v>Ühiskasutuses korruse pind</v>
      </c>
      <c r="H30" s="23" t="str">
        <f>IF(Eksplikatsioon!K31=0,"",Eksplikatsioon!K31)</f>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25">
      <c r="A31" s="23" t="str">
        <f>IF(Eksplikatsioon!A32=0,"",Eksplikatsioon!A32)</f>
        <v>01</v>
      </c>
      <c r="B31" s="60" t="str">
        <f>IF(Eksplikatsioon!B32=0,"",Eksplikatsioon!B32)</f>
        <v>103</v>
      </c>
      <c r="C31" s="23" t="str">
        <f>IF(Eksplikatsioon!C32=0,"",Eksplikatsioon!C32)</f>
        <v>ÜÜRITAV PIND</v>
      </c>
      <c r="D31" s="23" t="str">
        <f>IF(Eksplikatsioon!D32=0,"",Eksplikatsioon!D32)</f>
        <v>Kabinet/Büroo</v>
      </c>
      <c r="E31" s="58">
        <f>IF(Eksplikatsioon!F32=0,"",Eksplikatsioon!F32)</f>
        <v>10.3</v>
      </c>
      <c r="F31" s="23" t="str">
        <f>IF(Eksplikatsioon!H32=0,"",Eksplikatsioon!H32)</f>
        <v/>
      </c>
      <c r="G31" s="23" t="str">
        <f>IF(Eksplikatsioon!J32=0,"",Eksplikatsioon!J32)</f>
        <v>Ainukasutuses pind</v>
      </c>
      <c r="H31" s="23" t="str">
        <f>IF(Eksplikatsioon!K32=0,"",Eksplikatsioon!K32)</f>
        <v>Põlvamaa Arenduskeskus SA</v>
      </c>
      <c r="I31" s="23" t="str">
        <f>IF(Eksplikatsioon!L32=0,"",Eksplikatsioon!L32)</f>
        <v>KESK20POLVA_15</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25">
      <c r="A32" s="23" t="str">
        <f>IF(Eksplikatsioon!A33=0,"",Eksplikatsioon!A33)</f>
        <v>01</v>
      </c>
      <c r="B32" s="60" t="str">
        <f>IF(Eksplikatsioon!B33=0,"",Eksplikatsioon!B33)</f>
        <v>104</v>
      </c>
      <c r="C32" s="23" t="str">
        <f>IF(Eksplikatsioon!C33=0,"",Eksplikatsioon!C33)</f>
        <v>ÜÜRITAV PIND</v>
      </c>
      <c r="D32" s="23" t="str">
        <f>IF(Eksplikatsioon!D33=0,"",Eksplikatsioon!D33)</f>
        <v>Nõupidamise ruum</v>
      </c>
      <c r="E32" s="58">
        <f>IF(Eksplikatsioon!F33=0,"",Eksplikatsioon!F33)</f>
        <v>21.4</v>
      </c>
      <c r="F32" s="23" t="str">
        <f>IF(Eksplikatsioon!H33=0,"",Eksplikatsioon!H33)</f>
        <v/>
      </c>
      <c r="G32" s="23" t="str">
        <f>IF(Eksplikatsioon!J33=0,"",Eksplikatsioon!J33)</f>
        <v>Ainukasutuses pind</v>
      </c>
      <c r="H32" s="23" t="str">
        <f>IF(Eksplikatsioon!K33=0,"",Eksplikatsioon!K33)</f>
        <v>Põlvamaa Arenduskeskus SA</v>
      </c>
      <c r="I32" s="23" t="str">
        <f>IF(Eksplikatsioon!L33=0,"",Eksplikatsioon!L33)</f>
        <v>KESK20POLVA_15</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25">
      <c r="A33" s="23" t="str">
        <f>IF(Eksplikatsioon!A34=0,"",Eksplikatsioon!A34)</f>
        <v>01</v>
      </c>
      <c r="B33" s="60" t="str">
        <f>IF(Eksplikatsioon!B34=0,"",Eksplikatsioon!B34)</f>
        <v>105</v>
      </c>
      <c r="C33" s="23" t="str">
        <f>IF(Eksplikatsioon!C34=0,"",Eksplikatsioon!C34)</f>
        <v>ÜÜRITAV PIND</v>
      </c>
      <c r="D33" s="23" t="str">
        <f>IF(Eksplikatsioon!D34=0,"",Eksplikatsioon!D34)</f>
        <v>Kabinet/Büroo</v>
      </c>
      <c r="E33" s="58">
        <f>IF(Eksplikatsioon!F34=0,"",Eksplikatsioon!F34)</f>
        <v>13.3</v>
      </c>
      <c r="F33" s="23" t="str">
        <f>IF(Eksplikatsioon!H34=0,"",Eksplikatsioon!H34)</f>
        <v/>
      </c>
      <c r="G33" s="23" t="str">
        <f>IF(Eksplikatsioon!J34=0,"",Eksplikatsioon!J34)</f>
        <v>Ainukasutuses pind</v>
      </c>
      <c r="H33" s="23" t="str">
        <f>IF(Eksplikatsioon!K34=0,"",Eksplikatsioon!K34)</f>
        <v>Põlvamaa Arenduskeskus SA</v>
      </c>
      <c r="I33" s="23" t="str">
        <f>IF(Eksplikatsioon!L34=0,"",Eksplikatsioon!L34)</f>
        <v>KESK20POLVA_15</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25">
      <c r="A34" s="23" t="str">
        <f>IF(Eksplikatsioon!A35=0,"",Eksplikatsioon!A35)</f>
        <v>01</v>
      </c>
      <c r="B34" s="60" t="str">
        <f>IF(Eksplikatsioon!B35=0,"",Eksplikatsioon!B35)</f>
        <v>106</v>
      </c>
      <c r="C34" s="23" t="str">
        <f>IF(Eksplikatsioon!C35=0,"",Eksplikatsioon!C35)</f>
        <v>ÜÜRITAV PIND</v>
      </c>
      <c r="D34" s="23" t="str">
        <f>IF(Eksplikatsioon!D35=0,"",Eksplikatsioon!D35)</f>
        <v>Kabinet/Büroo</v>
      </c>
      <c r="E34" s="58">
        <f>IF(Eksplikatsioon!F35=0,"",Eksplikatsioon!F35)</f>
        <v>8.1</v>
      </c>
      <c r="F34" s="23" t="str">
        <f>IF(Eksplikatsioon!H35=0,"",Eksplikatsioon!H35)</f>
        <v/>
      </c>
      <c r="G34" s="23" t="str">
        <f>IF(Eksplikatsioon!J35=0,"",Eksplikatsioon!J35)</f>
        <v>Ainukasutuses pind</v>
      </c>
      <c r="H34" s="23" t="str">
        <f>IF(Eksplikatsioon!K35=0,"",Eksplikatsioon!K35)</f>
        <v>Aktiivne vakantsus</v>
      </c>
      <c r="I34" s="23" t="str">
        <f>IF(Eksplikatsioon!L35=0,"",Eksplikatsioon!L35)</f>
        <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25">
      <c r="A35" s="23" t="str">
        <f>IF(Eksplikatsioon!A36=0,"",Eksplikatsioon!A36)</f>
        <v>01</v>
      </c>
      <c r="B35" s="60" t="str">
        <f>IF(Eksplikatsioon!B36=0,"",Eksplikatsioon!B36)</f>
        <v>107</v>
      </c>
      <c r="C35" s="23" t="str">
        <f>IF(Eksplikatsioon!C36=0,"",Eksplikatsioon!C36)</f>
        <v>VERTIKAALSETE ÜHENDUSTEEDE PIND</v>
      </c>
      <c r="D35" s="23" t="str">
        <f>IF(Eksplikatsioon!D36=0,"",Eksplikatsioon!D36)</f>
        <v>Trepp/Trepikoda</v>
      </c>
      <c r="E35" s="58">
        <f>IF(Eksplikatsioon!F36=0,"",Eksplikatsioon!F36)</f>
        <v>21.2</v>
      </c>
      <c r="F35" s="23" t="str">
        <f>IF(Eksplikatsioon!H36=0,"",Eksplikatsioon!H36)</f>
        <v/>
      </c>
      <c r="G35" s="23" t="str">
        <f>IF(Eksplikatsioon!J36=0,"",Eksplikatsioon!J36)</f>
        <v/>
      </c>
      <c r="H35" s="23" t="str">
        <f>IF(Eksplikatsioon!K36=0,"",Eksplikatsioon!K36)</f>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25">
      <c r="A36" s="23" t="str">
        <f>IF(Eksplikatsioon!A37=0,"",Eksplikatsioon!A37)</f>
        <v>01</v>
      </c>
      <c r="B36" s="60" t="str">
        <f>IF(Eksplikatsioon!B37=0,"",Eksplikatsioon!B37)</f>
        <v>108</v>
      </c>
      <c r="C36" s="23" t="str">
        <f>IF(Eksplikatsioon!C37=0,"",Eksplikatsioon!C37)</f>
        <v>ÜÜRITAV PIND</v>
      </c>
      <c r="D36" s="23" t="str">
        <f>IF(Eksplikatsioon!D37=0,"",Eksplikatsioon!D37)</f>
        <v>Aatrium/Fuajee</v>
      </c>
      <c r="E36" s="58">
        <f>IF(Eksplikatsioon!F37=0,"",Eksplikatsioon!F37)</f>
        <v>36.4</v>
      </c>
      <c r="F36" s="23" t="str">
        <f>IF(Eksplikatsioon!H37=0,"",Eksplikatsioon!H37)</f>
        <v/>
      </c>
      <c r="G36" s="23" t="str">
        <f>IF(Eksplikatsioon!J37=0,"",Eksplikatsioon!J37)</f>
        <v>Ühiskasutuses hoone pind</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25">
      <c r="A37" s="23" t="str">
        <f>IF(Eksplikatsioon!A38=0,"",Eksplikatsioon!A38)</f>
        <v>01</v>
      </c>
      <c r="B37" s="60" t="str">
        <f>IF(Eksplikatsioon!B38=0,"",Eksplikatsioon!B38)</f>
        <v>109</v>
      </c>
      <c r="C37" s="23" t="str">
        <f>IF(Eksplikatsioon!C38=0,"",Eksplikatsioon!C38)</f>
        <v>ÜÜRITAV PIND</v>
      </c>
      <c r="D37" s="23" t="str">
        <f>IF(Eksplikatsioon!D38=0,"",Eksplikatsioon!D38)</f>
        <v>Koridor</v>
      </c>
      <c r="E37" s="58">
        <f>IF(Eksplikatsioon!F38=0,"",Eksplikatsioon!F38)</f>
        <v>19.100000000000001</v>
      </c>
      <c r="F37" s="23" t="str">
        <f>IF(Eksplikatsioon!H38=0,"",Eksplikatsioon!H38)</f>
        <v/>
      </c>
      <c r="G37" s="23" t="str">
        <f>IF(Eksplikatsioon!J38=0,"",Eksplikatsioon!J38)</f>
        <v>Ainukasutuses pind</v>
      </c>
      <c r="H37" s="23" t="str">
        <f>IF(Eksplikatsioon!K38=0,"",Eksplikatsioon!K38)</f>
        <v>Aktiivne vakantsus</v>
      </c>
      <c r="I37" s="23" t="str">
        <f>IF(Eksplikatsioon!L38=0,"",Eksplikatsioon!L38)</f>
        <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25">
      <c r="A38" s="23" t="str">
        <f>IF(Eksplikatsioon!A39=0,"",Eksplikatsioon!A39)</f>
        <v>01</v>
      </c>
      <c r="B38" s="60" t="str">
        <f>IF(Eksplikatsioon!B39=0,"",Eksplikatsioon!B39)</f>
        <v>110</v>
      </c>
      <c r="C38" s="23" t="str">
        <f>IF(Eksplikatsioon!C39=0,"",Eksplikatsioon!C39)</f>
        <v>ÜÜRITAV PIND</v>
      </c>
      <c r="D38" s="23" t="str">
        <f>IF(Eksplikatsioon!D39=0,"",Eksplikatsioon!D39)</f>
        <v>Eesruum</v>
      </c>
      <c r="E38" s="58">
        <f>IF(Eksplikatsioon!F39=0,"",Eksplikatsioon!F39)</f>
        <v>3.7</v>
      </c>
      <c r="F38" s="23" t="str">
        <f>IF(Eksplikatsioon!H39=0,"",Eksplikatsioon!H39)</f>
        <v/>
      </c>
      <c r="G38" s="23" t="str">
        <f>IF(Eksplikatsioon!J39=0,"",Eksplikatsioon!J39)</f>
        <v>Ühiskasutuses hoone pind</v>
      </c>
      <c r="H38" s="23" t="str">
        <f>IF(Eksplikatsioon!K39=0,"",Eksplikatsioon!K39)</f>
        <v/>
      </c>
      <c r="I38" s="23" t="str">
        <f>IF(Eksplikatsioon!L39=0,"",Eksplikatsioon!L39)</f>
        <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25">
      <c r="A39" s="23" t="str">
        <f>IF(Eksplikatsioon!A40=0,"",Eksplikatsioon!A40)</f>
        <v>01</v>
      </c>
      <c r="B39" s="60" t="str">
        <f>IF(Eksplikatsioon!B40=0,"",Eksplikatsioon!B40)</f>
        <v>111</v>
      </c>
      <c r="C39" s="23" t="str">
        <f>IF(Eksplikatsioon!C40=0,"",Eksplikatsioon!C40)</f>
        <v>ÜÜRITAV PIND</v>
      </c>
      <c r="D39" s="23" t="str">
        <f>IF(Eksplikatsioon!D40=0,"",Eksplikatsioon!D40)</f>
        <v>WC</v>
      </c>
      <c r="E39" s="58">
        <f>IF(Eksplikatsioon!F40=0,"",Eksplikatsioon!F40)</f>
        <v>1.2</v>
      </c>
      <c r="F39" s="23" t="str">
        <f>IF(Eksplikatsioon!H40=0,"",Eksplikatsioon!H40)</f>
        <v/>
      </c>
      <c r="G39" s="23" t="str">
        <f>IF(Eksplikatsioon!J40=0,"",Eksplikatsioon!J40)</f>
        <v>Ühiskasutuses hoone pind</v>
      </c>
      <c r="H39" s="23" t="str">
        <f>IF(Eksplikatsioon!K40=0,"",Eksplikatsioon!K40)</f>
        <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25">
      <c r="A40" s="23" t="str">
        <f>IF(Eksplikatsioon!A41=0,"",Eksplikatsioon!A41)</f>
        <v>01</v>
      </c>
      <c r="B40" s="60" t="str">
        <f>IF(Eksplikatsioon!B41=0,"",Eksplikatsioon!B41)</f>
        <v>112</v>
      </c>
      <c r="C40" s="23" t="str">
        <f>IF(Eksplikatsioon!C41=0,"",Eksplikatsioon!C41)</f>
        <v>ÜÜRITAV PIND</v>
      </c>
      <c r="D40" s="23" t="str">
        <f>IF(Eksplikatsioon!D41=0,"",Eksplikatsioon!D41)</f>
        <v>WC</v>
      </c>
      <c r="E40" s="58">
        <f>IF(Eksplikatsioon!F41=0,"",Eksplikatsioon!F41)</f>
        <v>1.1000000000000001</v>
      </c>
      <c r="F40" s="23" t="str">
        <f>IF(Eksplikatsioon!H41=0,"",Eksplikatsioon!H41)</f>
        <v/>
      </c>
      <c r="G40" s="23" t="str">
        <f>IF(Eksplikatsioon!J41=0,"",Eksplikatsioon!J41)</f>
        <v>Ühiskasutuses hoone pind</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25">
      <c r="A41" s="23" t="str">
        <f>IF(Eksplikatsioon!A42=0,"",Eksplikatsioon!A42)</f>
        <v>01</v>
      </c>
      <c r="B41" s="60" t="str">
        <f>IF(Eksplikatsioon!B42=0,"",Eksplikatsioon!B42)</f>
        <v>113</v>
      </c>
      <c r="C41" s="23" t="str">
        <f>IF(Eksplikatsioon!C42=0,"",Eksplikatsioon!C42)</f>
        <v>ÜÜRITAV PIND</v>
      </c>
      <c r="D41" s="23" t="str">
        <f>IF(Eksplikatsioon!D42=0,"",Eksplikatsioon!D42)</f>
        <v>WC</v>
      </c>
      <c r="E41" s="58">
        <f>IF(Eksplikatsioon!F42=0,"",Eksplikatsioon!F42)</f>
        <v>4.9000000000000004</v>
      </c>
      <c r="F41" s="23" t="str">
        <f>IF(Eksplikatsioon!H42=0,"",Eksplikatsioon!H42)</f>
        <v/>
      </c>
      <c r="G41" s="23" t="str">
        <f>IF(Eksplikatsioon!J42=0,"",Eksplikatsioon!J42)</f>
        <v>Ühiskasutuses hoone pind</v>
      </c>
      <c r="H41" s="23" t="str">
        <f>IF(Eksplikatsioon!K42=0,"",Eksplikatsioon!K42)</f>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25">
      <c r="A42" s="23" t="str">
        <f>IF(Eksplikatsioon!A43=0,"",Eksplikatsioon!A43)</f>
        <v>01</v>
      </c>
      <c r="B42" s="60" t="str">
        <f>IF(Eksplikatsioon!B43=0,"",Eksplikatsioon!B43)</f>
        <v>116</v>
      </c>
      <c r="C42" s="23" t="str">
        <f>IF(Eksplikatsioon!C43=0,"",Eksplikatsioon!C43)</f>
        <v>ÜÜRITAV PIND</v>
      </c>
      <c r="D42" s="23" t="str">
        <f>IF(Eksplikatsioon!D43=0,"",Eksplikatsioon!D43)</f>
        <v>Puhkeruum</v>
      </c>
      <c r="E42" s="58">
        <f>IF(Eksplikatsioon!F43=0,"",Eksplikatsioon!F43)</f>
        <v>9.4</v>
      </c>
      <c r="F42" s="23" t="str">
        <f>IF(Eksplikatsioon!H43=0,"",Eksplikatsioon!H43)</f>
        <v/>
      </c>
      <c r="G42" s="23" t="str">
        <f>IF(Eksplikatsioon!J43=0,"",Eksplikatsioon!J43)</f>
        <v>Ainukasutuses pind</v>
      </c>
      <c r="H42" s="23" t="str">
        <f>IF(Eksplikatsioon!K43=0,"",Eksplikatsioon!K43)</f>
        <v>Aktiivne vakantsus</v>
      </c>
      <c r="I42" s="23" t="str">
        <f>IF(Eksplikatsioon!L43=0,"",Eksplikatsioon!L43)</f>
        <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25">
      <c r="A43" s="23" t="str">
        <f>IF(Eksplikatsioon!A44=0,"",Eksplikatsioon!A44)</f>
        <v>01</v>
      </c>
      <c r="B43" s="60" t="str">
        <f>IF(Eksplikatsioon!B44=0,"",Eksplikatsioon!B44)</f>
        <v>117</v>
      </c>
      <c r="C43" s="23" t="str">
        <f>IF(Eksplikatsioon!C44=0,"",Eksplikatsioon!C44)</f>
        <v>ÜÜRITAV PIND</v>
      </c>
      <c r="D43" s="23" t="str">
        <f>IF(Eksplikatsioon!D44=0,"",Eksplikatsioon!D44)</f>
        <v>Kabinet/Büroo</v>
      </c>
      <c r="E43" s="58">
        <f>IF(Eksplikatsioon!F44=0,"",Eksplikatsioon!F44)</f>
        <v>21.4</v>
      </c>
      <c r="F43" s="23" t="str">
        <f>IF(Eksplikatsioon!H44=0,"",Eksplikatsioon!H44)</f>
        <v/>
      </c>
      <c r="G43" s="23" t="str">
        <f>IF(Eksplikatsioon!J44=0,"",Eksplikatsioon!J44)</f>
        <v>Ainukasutuses pind</v>
      </c>
      <c r="H43" s="23" t="str">
        <f>IF(Eksplikatsioon!K44=0,"",Eksplikatsioon!K44)</f>
        <v>Aktiivne vakantsus</v>
      </c>
      <c r="I43" s="23" t="str">
        <f>IF(Eksplikatsioon!L44=0,"",Eksplikatsioon!L44)</f>
        <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25">
      <c r="A44" s="23" t="str">
        <f>IF(Eksplikatsioon!A45=0,"",Eksplikatsioon!A45)</f>
        <v>01</v>
      </c>
      <c r="B44" s="60" t="str">
        <f>IF(Eksplikatsioon!B45=0,"",Eksplikatsioon!B45)</f>
        <v>118</v>
      </c>
      <c r="C44" s="23" t="str">
        <f>IF(Eksplikatsioon!C45=0,"",Eksplikatsioon!C45)</f>
        <v>VERTIKAALSETE ÜHENDUSTEEDE PIND</v>
      </c>
      <c r="D44" s="23" t="str">
        <f>IF(Eksplikatsioon!D45=0,"",Eksplikatsioon!D45)</f>
        <v>Trepp/Trepikoda</v>
      </c>
      <c r="E44" s="58">
        <f>IF(Eksplikatsioon!F45=0,"",Eksplikatsioon!F45)</f>
        <v>6.4</v>
      </c>
      <c r="F44" s="23" t="str">
        <f>IF(Eksplikatsioon!H45=0,"",Eksplikatsioon!H45)</f>
        <v/>
      </c>
      <c r="G44" s="23" t="str">
        <f>IF(Eksplikatsioon!J45=0,"",Eksplikatsioon!J45)</f>
        <v/>
      </c>
      <c r="H44" s="23" t="str">
        <f>IF(Eksplikatsioon!K45=0,"",Eksplikatsioon!K45)</f>
        <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25">
      <c r="A45" s="23" t="str">
        <f>IF(Eksplikatsioon!A46=0,"",Eksplikatsioon!A46)</f>
        <v>01</v>
      </c>
      <c r="B45" s="60" t="str">
        <f>IF(Eksplikatsioon!B46=0,"",Eksplikatsioon!B46)</f>
        <v>119</v>
      </c>
      <c r="C45" s="23" t="str">
        <f>IF(Eksplikatsioon!C46=0,"",Eksplikatsioon!C46)</f>
        <v>ÜÜRITAV PIND</v>
      </c>
      <c r="D45" s="23" t="str">
        <f>IF(Eksplikatsioon!D46=0,"",Eksplikatsioon!D46)</f>
        <v>Tuulekoda</v>
      </c>
      <c r="E45" s="58">
        <f>IF(Eksplikatsioon!F46=0,"",Eksplikatsioon!F46)</f>
        <v>2.9</v>
      </c>
      <c r="F45" s="23" t="str">
        <f>IF(Eksplikatsioon!H46=0,"",Eksplikatsioon!H46)</f>
        <v/>
      </c>
      <c r="G45" s="23" t="str">
        <f>IF(Eksplikatsioon!J46=0,"",Eksplikatsioon!J46)</f>
        <v>Ühiskasutuses hoone pind</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25">
      <c r="A46" s="23" t="str">
        <f>IF(Eksplikatsioon!A47=0,"",Eksplikatsioon!A47)</f>
        <v>01</v>
      </c>
      <c r="B46" s="60" t="str">
        <f>IF(Eksplikatsioon!B47=0,"",Eksplikatsioon!B47)</f>
        <v>120</v>
      </c>
      <c r="C46" s="23" t="str">
        <f>IF(Eksplikatsioon!C47=0,"",Eksplikatsioon!C47)</f>
        <v>ÜÜRITAV PIND</v>
      </c>
      <c r="D46" s="23" t="str">
        <f>IF(Eksplikatsioon!D47=0,"",Eksplikatsioon!D47)</f>
        <v>Arhiiv</v>
      </c>
      <c r="E46" s="58">
        <f>IF(Eksplikatsioon!F47=0,"",Eksplikatsioon!F47)</f>
        <v>9.1</v>
      </c>
      <c r="F46" s="23" t="str">
        <f>IF(Eksplikatsioon!H47=0,"",Eksplikatsioon!H47)</f>
        <v/>
      </c>
      <c r="G46" s="23" t="str">
        <f>IF(Eksplikatsioon!J47=0,"",Eksplikatsioon!J47)</f>
        <v>Ainukasutuses pind</v>
      </c>
      <c r="H46" s="23" t="str">
        <f>IF(Eksplikatsioon!K47=0,"",Eksplikatsioon!K47)</f>
        <v>Aktiivne vakantsus</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25">
      <c r="A47" s="23" t="str">
        <f>IF(Eksplikatsioon!A48=0,"",Eksplikatsioon!A48)</f>
        <v>01</v>
      </c>
      <c r="B47" s="60" t="str">
        <f>IF(Eksplikatsioon!B48=0,"",Eksplikatsioon!B48)</f>
        <v>121</v>
      </c>
      <c r="C47" s="23" t="str">
        <f>IF(Eksplikatsioon!C48=0,"",Eksplikatsioon!C48)</f>
        <v>ÜÜRITAV PIND</v>
      </c>
      <c r="D47" s="23" t="str">
        <f>IF(Eksplikatsioon!D48=0,"",Eksplikatsioon!D48)</f>
        <v>Kabinet/Büroo</v>
      </c>
      <c r="E47" s="58">
        <f>IF(Eksplikatsioon!F48=0,"",Eksplikatsioon!F48)</f>
        <v>21.4</v>
      </c>
      <c r="F47" s="23" t="str">
        <f>IF(Eksplikatsioon!H48=0,"",Eksplikatsioon!H48)</f>
        <v/>
      </c>
      <c r="G47" s="23" t="str">
        <f>IF(Eksplikatsioon!J48=0,"",Eksplikatsioon!J48)</f>
        <v>Ainukasutuses pind</v>
      </c>
      <c r="H47" s="23" t="str">
        <f>IF(Eksplikatsioon!K48=0,"",Eksplikatsioon!K48)</f>
        <v>Aktiivne vakantsus</v>
      </c>
      <c r="I47" s="23" t="str">
        <f>IF(Eksplikatsioon!L48=0,"",Eksplikatsioon!L48)</f>
        <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25">
      <c r="A48" s="23" t="str">
        <f>IF(Eksplikatsioon!A49=0,"",Eksplikatsioon!A49)</f>
        <v>01</v>
      </c>
      <c r="B48" s="60" t="str">
        <f>IF(Eksplikatsioon!B49=0,"",Eksplikatsioon!B49)</f>
        <v>122</v>
      </c>
      <c r="C48" s="23" t="str">
        <f>IF(Eksplikatsioon!C49=0,"",Eksplikatsioon!C49)</f>
        <v>ÜÜRITAV PIND</v>
      </c>
      <c r="D48" s="23" t="str">
        <f>IF(Eksplikatsioon!D49=0,"",Eksplikatsioon!D49)</f>
        <v>Kabinet/Büroo</v>
      </c>
      <c r="E48" s="58">
        <f>IF(Eksplikatsioon!F49=0,"",Eksplikatsioon!F49)</f>
        <v>10.1</v>
      </c>
      <c r="F48" s="23" t="str">
        <f>IF(Eksplikatsioon!H49=0,"",Eksplikatsioon!H49)</f>
        <v/>
      </c>
      <c r="G48" s="23" t="str">
        <f>IF(Eksplikatsioon!J49=0,"",Eksplikatsioon!J49)</f>
        <v>Ainukasutuses pind</v>
      </c>
      <c r="H48" s="23" t="str">
        <f>IF(Eksplikatsioon!K49=0,"",Eksplikatsioon!K49)</f>
        <v>Aktiivne vakantsus</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25">
      <c r="A49" s="23" t="str">
        <f>IF(Eksplikatsioon!A50=0,"",Eksplikatsioon!A50)</f>
        <v>01</v>
      </c>
      <c r="B49" s="60" t="str">
        <f>IF(Eksplikatsioon!B50=0,"",Eksplikatsioon!B50)</f>
        <v>123</v>
      </c>
      <c r="C49" s="23" t="str">
        <f>IF(Eksplikatsioon!C50=0,"",Eksplikatsioon!C50)</f>
        <v>ÜÜRITAV PIND</v>
      </c>
      <c r="D49" s="23" t="str">
        <f>IF(Eksplikatsioon!D50=0,"",Eksplikatsioon!D50)</f>
        <v>Kabinet/Büroo</v>
      </c>
      <c r="E49" s="58">
        <f>IF(Eksplikatsioon!F50=0,"",Eksplikatsioon!F50)</f>
        <v>11.4</v>
      </c>
      <c r="F49" s="23" t="str">
        <f>IF(Eksplikatsioon!H50=0,"",Eksplikatsioon!H50)</f>
        <v/>
      </c>
      <c r="G49" s="23" t="str">
        <f>IF(Eksplikatsioon!J50=0,"",Eksplikatsioon!J50)</f>
        <v>Ainukasutuses pind</v>
      </c>
      <c r="H49" s="23" t="str">
        <f>IF(Eksplikatsioon!K50=0,"",Eksplikatsioon!K50)</f>
        <v>Aktiivne vakantsus</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25">
      <c r="A50" s="23" t="str">
        <f>IF(Eksplikatsioon!A51=0,"",Eksplikatsioon!A51)</f>
        <v>01</v>
      </c>
      <c r="B50" s="60" t="str">
        <f>IF(Eksplikatsioon!B51=0,"",Eksplikatsioon!B51)</f>
        <v>124</v>
      </c>
      <c r="C50" s="23" t="str">
        <f>IF(Eksplikatsioon!C51=0,"",Eksplikatsioon!C51)</f>
        <v>ÜÜRITAV PIND</v>
      </c>
      <c r="D50" s="23" t="str">
        <f>IF(Eksplikatsioon!D51=0,"",Eksplikatsioon!D51)</f>
        <v>Ooteruum/Teenindusruum</v>
      </c>
      <c r="E50" s="58">
        <f>IF(Eksplikatsioon!F51=0,"",Eksplikatsioon!F51)</f>
        <v>21.7</v>
      </c>
      <c r="F50" s="23" t="str">
        <f>IF(Eksplikatsioon!H51=0,"",Eksplikatsioon!H51)</f>
        <v/>
      </c>
      <c r="G50" s="23" t="str">
        <f>IF(Eksplikatsioon!J51=0,"",Eksplikatsioon!J51)</f>
        <v>Ainukasutuses pind</v>
      </c>
      <c r="H50" s="23" t="str">
        <f>IF(Eksplikatsioon!K51=0,"",Eksplikatsioon!K51)</f>
        <v>Aktiivne vakantsus</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25">
      <c r="A51" s="23" t="str">
        <f>IF(Eksplikatsioon!A52=0,"",Eksplikatsioon!A52)</f>
        <v>01</v>
      </c>
      <c r="B51" s="60" t="str">
        <f>IF(Eksplikatsioon!B52=0,"",Eksplikatsioon!B52)</f>
        <v>125</v>
      </c>
      <c r="C51" s="23" t="str">
        <f>IF(Eksplikatsioon!C52=0,"",Eksplikatsioon!C52)</f>
        <v>ÜÜRITAV PIND</v>
      </c>
      <c r="D51" s="23" t="str">
        <f>IF(Eksplikatsioon!D52=0,"",Eksplikatsioon!D52)</f>
        <v>Kabinet/Büroo</v>
      </c>
      <c r="E51" s="58">
        <f>IF(Eksplikatsioon!F52=0,"",Eksplikatsioon!F52)</f>
        <v>32.299999999999997</v>
      </c>
      <c r="F51" s="23" t="str">
        <f>IF(Eksplikatsioon!H52=0,"",Eksplikatsioon!H52)</f>
        <v/>
      </c>
      <c r="G51" s="23" t="str">
        <f>IF(Eksplikatsioon!J52=0,"",Eksplikatsioon!J52)</f>
        <v>Ainukasutuses pind</v>
      </c>
      <c r="H51" s="23" t="str">
        <f>IF(Eksplikatsioon!K52=0,"",Eksplikatsioon!K52)</f>
        <v>Aktiivne vakantsus</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25">
      <c r="A52" s="23" t="str">
        <f>IF(Eksplikatsioon!A53=0,"",Eksplikatsioon!A53)</f>
        <v>01</v>
      </c>
      <c r="B52" s="60" t="str">
        <f>IF(Eksplikatsioon!B53=0,"",Eksplikatsioon!B53)</f>
        <v>126</v>
      </c>
      <c r="C52" s="23" t="str">
        <f>IF(Eksplikatsioon!C53=0,"",Eksplikatsioon!C53)</f>
        <v>ÜÜRITAV PIND</v>
      </c>
      <c r="D52" s="23" t="str">
        <f>IF(Eksplikatsioon!D53=0,"",Eksplikatsioon!D53)</f>
        <v>Tuulekoda</v>
      </c>
      <c r="E52" s="58">
        <f>IF(Eksplikatsioon!F53=0,"",Eksplikatsioon!F53)</f>
        <v>6.7</v>
      </c>
      <c r="F52" s="23" t="str">
        <f>IF(Eksplikatsioon!H53=0,"",Eksplikatsioon!H53)</f>
        <v/>
      </c>
      <c r="G52" s="23" t="str">
        <f>IF(Eksplikatsioon!J53=0,"",Eksplikatsioon!J53)</f>
        <v>Ühiskasutuses hoone pind</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25">
      <c r="A53" s="23" t="str">
        <f>IF(Eksplikatsioon!A54=0,"",Eksplikatsioon!A54)</f>
        <v>01</v>
      </c>
      <c r="B53" s="60" t="str">
        <f>IF(Eksplikatsioon!B54=0,"",Eksplikatsioon!B54)</f>
        <v>127</v>
      </c>
      <c r="C53" s="23" t="str">
        <f>IF(Eksplikatsioon!C54=0,"",Eksplikatsioon!C54)</f>
        <v>KORRUSE AVATUD NETOPIND</v>
      </c>
      <c r="D53" s="23" t="str">
        <f>IF(Eksplikatsioon!D54=0,"",Eksplikatsioon!D54)</f>
        <v>Varjualune</v>
      </c>
      <c r="E53" s="58">
        <f>IF(Eksplikatsioon!F54=0,"",Eksplikatsioon!F54)</f>
        <v>14.7</v>
      </c>
      <c r="F53" s="23" t="str">
        <f>IF(Eksplikatsioon!H54=0,"",Eksplikatsioon!H54)</f>
        <v/>
      </c>
      <c r="G53" s="23" t="str">
        <f>IF(Eksplikatsioon!J54=0,"",Eksplikatsioon!J54)</f>
        <v/>
      </c>
      <c r="H53" s="23" t="str">
        <f>IF(Eksplikatsioon!K54=0,"",Eksplikatsioon!K54)</f>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25">
      <c r="A54" s="23" t="str">
        <f>IF(Eksplikatsioon!A55=0,"",Eksplikatsioon!A55)</f>
        <v>01</v>
      </c>
      <c r="B54" s="60" t="str">
        <f>IF(Eksplikatsioon!B55=0,"",Eksplikatsioon!B55)</f>
        <v>128</v>
      </c>
      <c r="C54" s="23" t="str">
        <f>IF(Eksplikatsioon!C55=0,"",Eksplikatsioon!C55)</f>
        <v>ÜÜRITAV PIND</v>
      </c>
      <c r="D54" s="23" t="str">
        <f>IF(Eksplikatsioon!D55=0,"",Eksplikatsioon!D55)</f>
        <v>Kabinet/Büroo</v>
      </c>
      <c r="E54" s="58">
        <f>IF(Eksplikatsioon!F55=0,"",Eksplikatsioon!F55)</f>
        <v>19.7</v>
      </c>
      <c r="F54" s="23" t="str">
        <f>IF(Eksplikatsioon!H55=0,"",Eksplikatsioon!H55)</f>
        <v/>
      </c>
      <c r="G54" s="23" t="str">
        <f>IF(Eksplikatsioon!J55=0,"",Eksplikatsioon!J55)</f>
        <v>Ainukasutuses pind</v>
      </c>
      <c r="H54" s="23" t="str">
        <f>IF(Eksplikatsioon!K55=0,"",Eksplikatsioon!K55)</f>
        <v>Aktiivne vakantsus</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25">
      <c r="A55" s="23" t="str">
        <f>IF(Eksplikatsioon!A56=0,"",Eksplikatsioon!A56)</f>
        <v>01</v>
      </c>
      <c r="B55" s="60" t="str">
        <f>IF(Eksplikatsioon!B56=0,"",Eksplikatsioon!B56)</f>
        <v>129</v>
      </c>
      <c r="C55" s="23" t="str">
        <f>IF(Eksplikatsioon!C56=0,"",Eksplikatsioon!C56)</f>
        <v>ÜÜRITAV PIND</v>
      </c>
      <c r="D55" s="23" t="str">
        <f>IF(Eksplikatsioon!D56=0,"",Eksplikatsioon!D56)</f>
        <v>Kabinet/Büroo</v>
      </c>
      <c r="E55" s="58">
        <f>IF(Eksplikatsioon!F56=0,"",Eksplikatsioon!F56)</f>
        <v>10</v>
      </c>
      <c r="F55" s="23" t="str">
        <f>IF(Eksplikatsioon!H56=0,"",Eksplikatsioon!H56)</f>
        <v/>
      </c>
      <c r="G55" s="23" t="str">
        <f>IF(Eksplikatsioon!J56=0,"",Eksplikatsioon!J56)</f>
        <v>Ainukasutuses pind</v>
      </c>
      <c r="H55" s="23" t="str">
        <f>IF(Eksplikatsioon!K56=0,"",Eksplikatsioon!K56)</f>
        <v>Põlvamaa Arenduskeskus SA</v>
      </c>
      <c r="I55" s="23" t="str">
        <f>IF(Eksplikatsioon!L56=0,"",Eksplikatsioon!L56)</f>
        <v>KESK20POLVA_15</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25">
      <c r="A56" s="23" t="str">
        <f>IF(Eksplikatsioon!A57=0,"",Eksplikatsioon!A57)</f>
        <v>01</v>
      </c>
      <c r="B56" s="60" t="str">
        <f>IF(Eksplikatsioon!B57=0,"",Eksplikatsioon!B57)</f>
        <v>130</v>
      </c>
      <c r="C56" s="23" t="str">
        <f>IF(Eksplikatsioon!C57=0,"",Eksplikatsioon!C57)</f>
        <v>ÜÜRITAV PIND</v>
      </c>
      <c r="D56" s="23" t="str">
        <f>IF(Eksplikatsioon!D57=0,"",Eksplikatsioon!D57)</f>
        <v>Kabinet/Büroo</v>
      </c>
      <c r="E56" s="58">
        <f>IF(Eksplikatsioon!F57=0,"",Eksplikatsioon!F57)</f>
        <v>11.3</v>
      </c>
      <c r="F56" s="23" t="str">
        <f>IF(Eksplikatsioon!H57=0,"",Eksplikatsioon!H57)</f>
        <v/>
      </c>
      <c r="G56" s="23" t="str">
        <f>IF(Eksplikatsioon!J57=0,"",Eksplikatsioon!J57)</f>
        <v>Ainukasutuses pind</v>
      </c>
      <c r="H56" s="23" t="str">
        <f>IF(Eksplikatsioon!K57=0,"",Eksplikatsioon!K57)</f>
        <v>Põlvamaa Arenduskeskus SA</v>
      </c>
      <c r="I56" s="23" t="str">
        <f>IF(Eksplikatsioon!L57=0,"",Eksplikatsioon!L57)</f>
        <v>KESK20POLVA_15</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25">
      <c r="A57" s="23" t="str">
        <f>IF(Eksplikatsioon!A58=0,"",Eksplikatsioon!A58)</f>
        <v>01</v>
      </c>
      <c r="B57" s="60" t="str">
        <f>IF(Eksplikatsioon!B58=0,"",Eksplikatsioon!B58)</f>
        <v>131</v>
      </c>
      <c r="C57" s="23" t="str">
        <f>IF(Eksplikatsioon!C58=0,"",Eksplikatsioon!C58)</f>
        <v>ÜÜRITAV PIND</v>
      </c>
      <c r="D57" s="23" t="str">
        <f>IF(Eksplikatsioon!D58=0,"",Eksplikatsioon!D58)</f>
        <v>Kabinet/Büroo</v>
      </c>
      <c r="E57" s="58">
        <f>IF(Eksplikatsioon!F58=0,"",Eksplikatsioon!F58)</f>
        <v>11.4</v>
      </c>
      <c r="F57" s="23" t="str">
        <f>IF(Eksplikatsioon!H58=0,"",Eksplikatsioon!H58)</f>
        <v/>
      </c>
      <c r="G57" s="23" t="str">
        <f>IF(Eksplikatsioon!J58=0,"",Eksplikatsioon!J58)</f>
        <v>Ainukasutuses pind</v>
      </c>
      <c r="H57" s="23" t="str">
        <f>IF(Eksplikatsioon!K58=0,"",Eksplikatsioon!K58)</f>
        <v>Põlvamaa Arenduskeskus SA</v>
      </c>
      <c r="I57" s="23" t="str">
        <f>IF(Eksplikatsioon!L58=0,"",Eksplikatsioon!L58)</f>
        <v>KESK20POLVA_15</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25">
      <c r="A58" s="23" t="str">
        <f>IF(Eksplikatsioon!A59=0,"",Eksplikatsioon!A59)</f>
        <v>01</v>
      </c>
      <c r="B58" s="60" t="str">
        <f>IF(Eksplikatsioon!B59=0,"",Eksplikatsioon!B59)</f>
        <v>132</v>
      </c>
      <c r="C58" s="23" t="str">
        <f>IF(Eksplikatsioon!C59=0,"",Eksplikatsioon!C59)</f>
        <v>ÜÜRITAV PIND</v>
      </c>
      <c r="D58" s="23" t="str">
        <f>IF(Eksplikatsioon!D59=0,"",Eksplikatsioon!D59)</f>
        <v>Kabinet/Büroo</v>
      </c>
      <c r="E58" s="58">
        <f>IF(Eksplikatsioon!F59=0,"",Eksplikatsioon!F59)</f>
        <v>10.199999999999999</v>
      </c>
      <c r="F58" s="23" t="str">
        <f>IF(Eksplikatsioon!H59=0,"",Eksplikatsioon!H59)</f>
        <v/>
      </c>
      <c r="G58" s="23" t="str">
        <f>IF(Eksplikatsioon!J59=0,"",Eksplikatsioon!J59)</f>
        <v>Ainukasutuses pind</v>
      </c>
      <c r="H58" s="23" t="str">
        <f>IF(Eksplikatsioon!K59=0,"",Eksplikatsioon!K59)</f>
        <v>Põlvamaa Arenduskeskus SA</v>
      </c>
      <c r="I58" s="23" t="str">
        <f>IF(Eksplikatsioon!L59=0,"",Eksplikatsioon!L59)</f>
        <v>KESK20POLVA_15</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25">
      <c r="A59" s="23" t="str">
        <f>IF(Eksplikatsioon!A60=0,"",Eksplikatsioon!A60)</f>
        <v>01</v>
      </c>
      <c r="B59" s="60" t="str">
        <f>IF(Eksplikatsioon!B60=0,"",Eksplikatsioon!B60)</f>
        <v>133</v>
      </c>
      <c r="C59" s="23" t="str">
        <f>IF(Eksplikatsioon!C60=0,"",Eksplikatsioon!C60)</f>
        <v>ÜÜRITAV PIND</v>
      </c>
      <c r="D59" s="23" t="str">
        <f>IF(Eksplikatsioon!D60=0,"",Eksplikatsioon!D60)</f>
        <v>Kabinet/Büroo</v>
      </c>
      <c r="E59" s="58">
        <f>IF(Eksplikatsioon!F60=0,"",Eksplikatsioon!F60)</f>
        <v>20.9</v>
      </c>
      <c r="F59" s="23" t="str">
        <f>IF(Eksplikatsioon!H60=0,"",Eksplikatsioon!H60)</f>
        <v/>
      </c>
      <c r="G59" s="23" t="str">
        <f>IF(Eksplikatsioon!J60=0,"",Eksplikatsioon!J60)</f>
        <v>Ainukasutuses pind</v>
      </c>
      <c r="H59" s="23" t="str">
        <f>IF(Eksplikatsioon!K60=0,"",Eksplikatsioon!K60)</f>
        <v>Põlvamaa Arenduskeskus SA</v>
      </c>
      <c r="I59" s="23" t="str">
        <f>IF(Eksplikatsioon!L60=0,"",Eksplikatsioon!L60)</f>
        <v>KESK20POLVA_15</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25">
      <c r="A60" s="23" t="str">
        <f>IF(Eksplikatsioon!A61=0,"",Eksplikatsioon!A61)</f>
        <v>02</v>
      </c>
      <c r="B60" s="60" t="str">
        <f>IF(Eksplikatsioon!B61=0,"",Eksplikatsioon!B61)</f>
        <v>201</v>
      </c>
      <c r="C60" s="23" t="str">
        <f>IF(Eksplikatsioon!C61=0,"",Eksplikatsioon!C61)</f>
        <v>VERTIKAALSETE ÜHENDUSTEEDE PIND</v>
      </c>
      <c r="D60" s="23" t="str">
        <f>IF(Eksplikatsioon!D61=0,"",Eksplikatsioon!D61)</f>
        <v>Trepp/Trepikoda</v>
      </c>
      <c r="E60" s="58">
        <f>IF(Eksplikatsioon!F61=0,"",Eksplikatsioon!F61)</f>
        <v>14.2</v>
      </c>
      <c r="F60" s="23" t="str">
        <f>IF(Eksplikatsioon!H61=0,"",Eksplikatsioon!H61)</f>
        <v/>
      </c>
      <c r="G60" s="23" t="str">
        <f>IF(Eksplikatsioon!J61=0,"",Eksplikatsioon!J61)</f>
        <v/>
      </c>
      <c r="H60" s="23" t="str">
        <f>IF(Eksplikatsioon!K61=0,"",Eksplikatsioon!K61)</f>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25">
      <c r="A61" s="23" t="str">
        <f>IF(Eksplikatsioon!A62=0,"",Eksplikatsioon!A62)</f>
        <v>02</v>
      </c>
      <c r="B61" s="60" t="str">
        <f>IF(Eksplikatsioon!B62=0,"",Eksplikatsioon!B62)</f>
        <v>202</v>
      </c>
      <c r="C61" s="23" t="str">
        <f>IF(Eksplikatsioon!C62=0,"",Eksplikatsioon!C62)</f>
        <v>ÜÜRITAV PIND</v>
      </c>
      <c r="D61" s="23" t="str">
        <f>IF(Eksplikatsioon!D62=0,"",Eksplikatsioon!D62)</f>
        <v>Koridor</v>
      </c>
      <c r="E61" s="58">
        <f>IF(Eksplikatsioon!F62=0,"",Eksplikatsioon!F62)</f>
        <v>29.2</v>
      </c>
      <c r="F61" s="23" t="str">
        <f>IF(Eksplikatsioon!H62=0,"",Eksplikatsioon!H62)</f>
        <v/>
      </c>
      <c r="G61" s="23" t="str">
        <f>IF(Eksplikatsioon!J62=0,"",Eksplikatsioon!J62)</f>
        <v>Ühiskasutuses korruse pind</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25">
      <c r="A62" s="23" t="str">
        <f>IF(Eksplikatsioon!A63=0,"",Eksplikatsioon!A63)</f>
        <v>02</v>
      </c>
      <c r="B62" s="60" t="str">
        <f>IF(Eksplikatsioon!B63=0,"",Eksplikatsioon!B63)</f>
        <v>203</v>
      </c>
      <c r="C62" s="23" t="str">
        <f>IF(Eksplikatsioon!C63=0,"",Eksplikatsioon!C63)</f>
        <v>ÜÜRITAV PIND</v>
      </c>
      <c r="D62" s="23" t="str">
        <f>IF(Eksplikatsioon!D63=0,"",Eksplikatsioon!D63)</f>
        <v>Kabinet/Büroo</v>
      </c>
      <c r="E62" s="58">
        <f>IF(Eksplikatsioon!F63=0,"",Eksplikatsioon!F63)</f>
        <v>10.4</v>
      </c>
      <c r="F62" s="23" t="str">
        <f>IF(Eksplikatsioon!H63=0,"",Eksplikatsioon!H63)</f>
        <v/>
      </c>
      <c r="G62" s="23" t="str">
        <f>IF(Eksplikatsioon!J63=0,"",Eksplikatsioon!J63)</f>
        <v>Ainukasutuses pind</v>
      </c>
      <c r="H62" s="23" t="str">
        <f>IF(Eksplikatsioon!K63=0,"",Eksplikatsioon!K63)</f>
        <v>Aktiivne vakantsus</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25">
      <c r="A63" s="23" t="str">
        <f>IF(Eksplikatsioon!A64=0,"",Eksplikatsioon!A64)</f>
        <v>02</v>
      </c>
      <c r="B63" s="60" t="str">
        <f>IF(Eksplikatsioon!B64=0,"",Eksplikatsioon!B64)</f>
        <v>204</v>
      </c>
      <c r="C63" s="23" t="str">
        <f>IF(Eksplikatsioon!C64=0,"",Eksplikatsioon!C64)</f>
        <v>ÜÜRITAV PIND</v>
      </c>
      <c r="D63" s="23" t="str">
        <f>IF(Eksplikatsioon!D64=0,"",Eksplikatsioon!D64)</f>
        <v>Kabinet/Büroo</v>
      </c>
      <c r="E63" s="58">
        <f>IF(Eksplikatsioon!F64=0,"",Eksplikatsioon!F64)</f>
        <v>20.7</v>
      </c>
      <c r="F63" s="23" t="str">
        <f>IF(Eksplikatsioon!H64=0,"",Eksplikatsioon!H64)</f>
        <v/>
      </c>
      <c r="G63" s="23" t="str">
        <f>IF(Eksplikatsioon!J64=0,"",Eksplikatsioon!J64)</f>
        <v>Ainukasutuses pind</v>
      </c>
      <c r="H63" s="23" t="str">
        <f>IF(Eksplikatsioon!K64=0,"",Eksplikatsioon!K64)</f>
        <v>Aktiivne vakantsus</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25">
      <c r="A64" s="23" t="str">
        <f>IF(Eksplikatsioon!A65=0,"",Eksplikatsioon!A65)</f>
        <v>02</v>
      </c>
      <c r="B64" s="60" t="str">
        <f>IF(Eksplikatsioon!B65=0,"",Eksplikatsioon!B65)</f>
        <v>205</v>
      </c>
      <c r="C64" s="23" t="str">
        <f>IF(Eksplikatsioon!C65=0,"",Eksplikatsioon!C65)</f>
        <v>ÜÜRITAV PIND</v>
      </c>
      <c r="D64" s="23" t="str">
        <f>IF(Eksplikatsioon!D65=0,"",Eksplikatsioon!D65)</f>
        <v>Kabinet/Büroo</v>
      </c>
      <c r="E64" s="58">
        <f>IF(Eksplikatsioon!F65=0,"",Eksplikatsioon!F65)</f>
        <v>13.4</v>
      </c>
      <c r="F64" s="23" t="str">
        <f>IF(Eksplikatsioon!H65=0,"",Eksplikatsioon!H65)</f>
        <v/>
      </c>
      <c r="G64" s="23" t="str">
        <f>IF(Eksplikatsioon!J65=0,"",Eksplikatsioon!J65)</f>
        <v>Ainukasutuses pind</v>
      </c>
      <c r="H64" s="23" t="str">
        <f>IF(Eksplikatsioon!K65=0,"",Eksplikatsioon!K65)</f>
        <v>Maa- ja Ruumiamet</v>
      </c>
      <c r="I64" s="23" t="str">
        <f>IF(Eksplikatsioon!L65=0,"",Eksplikatsioon!L65)</f>
        <v>KESK20POLVA_20</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25">
      <c r="A65" s="23" t="str">
        <f>IF(Eksplikatsioon!A66=0,"",Eksplikatsioon!A66)</f>
        <v>02</v>
      </c>
      <c r="B65" s="60" t="str">
        <f>IF(Eksplikatsioon!B66=0,"",Eksplikatsioon!B66)</f>
        <v>206</v>
      </c>
      <c r="C65" s="23" t="str">
        <f>IF(Eksplikatsioon!C66=0,"",Eksplikatsioon!C66)</f>
        <v>ÜÜRITAV PIND</v>
      </c>
      <c r="D65" s="23" t="str">
        <f>IF(Eksplikatsioon!D66=0,"",Eksplikatsioon!D66)</f>
        <v>Kabinet/Büroo</v>
      </c>
      <c r="E65" s="58">
        <f>IF(Eksplikatsioon!F66=0,"",Eksplikatsioon!F66)</f>
        <v>6.4</v>
      </c>
      <c r="F65" s="23" t="str">
        <f>IF(Eksplikatsioon!H66=0,"",Eksplikatsioon!H66)</f>
        <v/>
      </c>
      <c r="G65" s="23" t="str">
        <f>IF(Eksplikatsioon!J66=0,"",Eksplikatsioon!J66)</f>
        <v>Ainukasutuses pind</v>
      </c>
      <c r="H65" s="23" t="str">
        <f>IF(Eksplikatsioon!K66=0,"",Eksplikatsioon!K66)</f>
        <v>Maa- ja Ruumiamet</v>
      </c>
      <c r="I65" s="23" t="str">
        <f>IF(Eksplikatsioon!L66=0,"",Eksplikatsioon!L66)</f>
        <v>KESK20POLVA_20</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25">
      <c r="A66" s="23" t="str">
        <f>IF(Eksplikatsioon!A67=0,"",Eksplikatsioon!A67)</f>
        <v>02</v>
      </c>
      <c r="B66" s="60" t="str">
        <f>IF(Eksplikatsioon!B67=0,"",Eksplikatsioon!B67)</f>
        <v>207</v>
      </c>
      <c r="C66" s="23" t="str">
        <f>IF(Eksplikatsioon!C67=0,"",Eksplikatsioon!C67)</f>
        <v>VERTIKAALSETE ÜHENDUSTEEDE PIND</v>
      </c>
      <c r="D66" s="23" t="str">
        <f>IF(Eksplikatsioon!D67=0,"",Eksplikatsioon!D67)</f>
        <v>Trepp/Trepikoda</v>
      </c>
      <c r="E66" s="58">
        <f>IF(Eksplikatsioon!F67=0,"",Eksplikatsioon!F67)</f>
        <v>28.2</v>
      </c>
      <c r="F66" s="23" t="str">
        <f>IF(Eksplikatsioon!H67=0,"",Eksplikatsioon!H67)</f>
        <v/>
      </c>
      <c r="G66" s="23" t="str">
        <f>IF(Eksplikatsioon!J67=0,"",Eksplikatsioon!J67)</f>
        <v/>
      </c>
      <c r="H66" s="23" t="str">
        <f>IF(Eksplikatsioon!K67=0,"",Eksplikatsioon!K67)</f>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25">
      <c r="A67" s="23" t="str">
        <f>IF(Eksplikatsioon!A68=0,"",Eksplikatsioon!A68)</f>
        <v>02</v>
      </c>
      <c r="B67" s="60" t="str">
        <f>IF(Eksplikatsioon!B68=0,"",Eksplikatsioon!B68)</f>
        <v>208</v>
      </c>
      <c r="C67" s="23" t="str">
        <f>IF(Eksplikatsioon!C68=0,"",Eksplikatsioon!C68)</f>
        <v>ÜÜRITAV PIND</v>
      </c>
      <c r="D67" s="23" t="str">
        <f>IF(Eksplikatsioon!D68=0,"",Eksplikatsioon!D68)</f>
        <v>Koridor</v>
      </c>
      <c r="E67" s="58">
        <f>IF(Eksplikatsioon!F68=0,"",Eksplikatsioon!F68)</f>
        <v>19.8</v>
      </c>
      <c r="F67" s="23" t="str">
        <f>IF(Eksplikatsioon!H68=0,"",Eksplikatsioon!H68)</f>
        <v/>
      </c>
      <c r="G67" s="23" t="str">
        <f>IF(Eksplikatsioon!J68=0,"",Eksplikatsioon!J68)</f>
        <v>Ühiskasutuses korruse pind</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25">
      <c r="A68" s="23" t="str">
        <f>IF(Eksplikatsioon!A69=0,"",Eksplikatsioon!A69)</f>
        <v>02</v>
      </c>
      <c r="B68" s="60" t="str">
        <f>IF(Eksplikatsioon!B69=0,"",Eksplikatsioon!B69)</f>
        <v>209</v>
      </c>
      <c r="C68" s="23" t="str">
        <f>IF(Eksplikatsioon!C69=0,"",Eksplikatsioon!C69)</f>
        <v>ÜÜRITAV PIND</v>
      </c>
      <c r="D68" s="23" t="str">
        <f>IF(Eksplikatsioon!D69=0,"",Eksplikatsioon!D69)</f>
        <v>Koridor</v>
      </c>
      <c r="E68" s="58">
        <f>IF(Eksplikatsioon!F69=0,"",Eksplikatsioon!F69)</f>
        <v>23.4</v>
      </c>
      <c r="F68" s="23" t="str">
        <f>IF(Eksplikatsioon!H69=0,"",Eksplikatsioon!H69)</f>
        <v/>
      </c>
      <c r="G68" s="23" t="str">
        <f>IF(Eksplikatsioon!J69=0,"",Eksplikatsioon!J69)</f>
        <v>Ühiskasutuses korruse pind</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25">
      <c r="A69" s="23" t="str">
        <f>IF(Eksplikatsioon!A70=0,"",Eksplikatsioon!A70)</f>
        <v>02</v>
      </c>
      <c r="B69" s="60" t="str">
        <f>IF(Eksplikatsioon!B70=0,"",Eksplikatsioon!B70)</f>
        <v>210</v>
      </c>
      <c r="C69" s="23" t="str">
        <f>IF(Eksplikatsioon!C70=0,"",Eksplikatsioon!C70)</f>
        <v>ÜÜRITAV PIND</v>
      </c>
      <c r="D69" s="23" t="str">
        <f>IF(Eksplikatsioon!D70=0,"",Eksplikatsioon!D70)</f>
        <v>Pesuruum</v>
      </c>
      <c r="E69" s="58">
        <f>IF(Eksplikatsioon!F70=0,"",Eksplikatsioon!F70)</f>
        <v>4.8</v>
      </c>
      <c r="F69" s="23" t="str">
        <f>IF(Eksplikatsioon!H70=0,"",Eksplikatsioon!H70)</f>
        <v/>
      </c>
      <c r="G69" s="23" t="str">
        <f>IF(Eksplikatsioon!J70=0,"",Eksplikatsioon!J70)</f>
        <v>Ühiskasutuses korruse pind</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25">
      <c r="A70" s="23" t="str">
        <f>IF(Eksplikatsioon!A71=0,"",Eksplikatsioon!A71)</f>
        <v>02</v>
      </c>
      <c r="B70" s="60" t="str">
        <f>IF(Eksplikatsioon!B71=0,"",Eksplikatsioon!B71)</f>
        <v>211</v>
      </c>
      <c r="C70" s="23" t="str">
        <f>IF(Eksplikatsioon!C71=0,"",Eksplikatsioon!C71)</f>
        <v>ÜÜRITAV PIND</v>
      </c>
      <c r="D70" s="23" t="str">
        <f>IF(Eksplikatsioon!D71=0,"",Eksplikatsioon!D71)</f>
        <v>WC</v>
      </c>
      <c r="E70" s="58">
        <f>IF(Eksplikatsioon!F71=0,"",Eksplikatsioon!F71)</f>
        <v>1.5</v>
      </c>
      <c r="F70" s="23" t="str">
        <f>IF(Eksplikatsioon!H71=0,"",Eksplikatsioon!H71)</f>
        <v/>
      </c>
      <c r="G70" s="23" t="str">
        <f>IF(Eksplikatsioon!J71=0,"",Eksplikatsioon!J71)</f>
        <v>Ühiskasutuses korruse pind</v>
      </c>
      <c r="H70" s="23" t="str">
        <f>IF(Eksplikatsioon!K71=0,"",Eksplikatsioon!K71)</f>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25">
      <c r="A71" s="23" t="str">
        <f>IF(Eksplikatsioon!A72=0,"",Eksplikatsioon!A72)</f>
        <v>02</v>
      </c>
      <c r="B71" s="60" t="str">
        <f>IF(Eksplikatsioon!B72=0,"",Eksplikatsioon!B72)</f>
        <v>212</v>
      </c>
      <c r="C71" s="23" t="str">
        <f>IF(Eksplikatsioon!C72=0,"",Eksplikatsioon!C72)</f>
        <v>ÜÜRITAV PIND</v>
      </c>
      <c r="D71" s="23" t="str">
        <f>IF(Eksplikatsioon!D72=0,"",Eksplikatsioon!D72)</f>
        <v>WC</v>
      </c>
      <c r="E71" s="58">
        <f>IF(Eksplikatsioon!F72=0,"",Eksplikatsioon!F72)</f>
        <v>1.2</v>
      </c>
      <c r="F71" s="23" t="str">
        <f>IF(Eksplikatsioon!H72=0,"",Eksplikatsioon!H72)</f>
        <v/>
      </c>
      <c r="G71" s="23" t="str">
        <f>IF(Eksplikatsioon!J72=0,"",Eksplikatsioon!J72)</f>
        <v>Ühiskasutuses korruse pind</v>
      </c>
      <c r="H71" s="23" t="str">
        <f>IF(Eksplikatsioon!K72=0,"",Eksplikatsioon!K72)</f>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25">
      <c r="A72" s="23" t="str">
        <f>IF(Eksplikatsioon!A73=0,"",Eksplikatsioon!A73)</f>
        <v>02</v>
      </c>
      <c r="B72" s="60" t="str">
        <f>IF(Eksplikatsioon!B73=0,"",Eksplikatsioon!B73)</f>
        <v>213</v>
      </c>
      <c r="C72" s="23" t="str">
        <f>IF(Eksplikatsioon!C73=0,"",Eksplikatsioon!C73)</f>
        <v>ÜÜRITAV PIND</v>
      </c>
      <c r="D72" s="23" t="str">
        <f>IF(Eksplikatsioon!D73=0,"",Eksplikatsioon!D73)</f>
        <v>Pesuruum</v>
      </c>
      <c r="E72" s="58">
        <f>IF(Eksplikatsioon!F73=0,"",Eksplikatsioon!F73)</f>
        <v>4.8</v>
      </c>
      <c r="F72" s="23" t="str">
        <f>IF(Eksplikatsioon!H73=0,"",Eksplikatsioon!H73)</f>
        <v/>
      </c>
      <c r="G72" s="23" t="str">
        <f>IF(Eksplikatsioon!J73=0,"",Eksplikatsioon!J73)</f>
        <v>Ühiskasutuses korruse pind</v>
      </c>
      <c r="H72" s="23" t="str">
        <f>IF(Eksplikatsioon!K73=0,"",Eksplikatsioon!K73)</f>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25">
      <c r="A73" s="23" t="str">
        <f>IF(Eksplikatsioon!A74=0,"",Eksplikatsioon!A74)</f>
        <v>02</v>
      </c>
      <c r="B73" s="60" t="str">
        <f>IF(Eksplikatsioon!B74=0,"",Eksplikatsioon!B74)</f>
        <v>214</v>
      </c>
      <c r="C73" s="23" t="str">
        <f>IF(Eksplikatsioon!C74=0,"",Eksplikatsioon!C74)</f>
        <v>ÜÜRITAV PIND</v>
      </c>
      <c r="D73" s="23" t="str">
        <f>IF(Eksplikatsioon!D74=0,"",Eksplikatsioon!D74)</f>
        <v>WC</v>
      </c>
      <c r="E73" s="58">
        <f>IF(Eksplikatsioon!F74=0,"",Eksplikatsioon!F74)</f>
        <v>1.2</v>
      </c>
      <c r="F73" s="23" t="str">
        <f>IF(Eksplikatsioon!H74=0,"",Eksplikatsioon!H74)</f>
        <v/>
      </c>
      <c r="G73" s="23" t="str">
        <f>IF(Eksplikatsioon!J74=0,"",Eksplikatsioon!J74)</f>
        <v>Ühiskasutuses korruse pind</v>
      </c>
      <c r="H73" s="23" t="str">
        <f>IF(Eksplikatsioon!K74=0,"",Eksplikatsioon!K74)</f>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25">
      <c r="A74" s="23" t="str">
        <f>IF(Eksplikatsioon!A75=0,"",Eksplikatsioon!A75)</f>
        <v>02</v>
      </c>
      <c r="B74" s="60" t="str">
        <f>IF(Eksplikatsioon!B75=0,"",Eksplikatsioon!B75)</f>
        <v>215</v>
      </c>
      <c r="C74" s="23" t="str">
        <f>IF(Eksplikatsioon!C75=0,"",Eksplikatsioon!C75)</f>
        <v>ÜÜRITAV PIND</v>
      </c>
      <c r="D74" s="23" t="str">
        <f>IF(Eksplikatsioon!D75=0,"",Eksplikatsioon!D75)</f>
        <v>WC</v>
      </c>
      <c r="E74" s="58">
        <f>IF(Eksplikatsioon!F75=0,"",Eksplikatsioon!F75)</f>
        <v>1.3</v>
      </c>
      <c r="F74" s="23" t="str">
        <f>IF(Eksplikatsioon!H75=0,"",Eksplikatsioon!H75)</f>
        <v/>
      </c>
      <c r="G74" s="23" t="str">
        <f>IF(Eksplikatsioon!J75=0,"",Eksplikatsioon!J75)</f>
        <v>Ühiskasutuses korruse pind</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25">
      <c r="A75" s="23" t="str">
        <f>IF(Eksplikatsioon!A76=0,"",Eksplikatsioon!A76)</f>
        <v>02</v>
      </c>
      <c r="B75" s="60" t="str">
        <f>IF(Eksplikatsioon!B76=0,"",Eksplikatsioon!B76)</f>
        <v>216</v>
      </c>
      <c r="C75" s="23" t="str">
        <f>IF(Eksplikatsioon!C76=0,"",Eksplikatsioon!C76)</f>
        <v>ÜÜRITAV PIND</v>
      </c>
      <c r="D75" s="23" t="str">
        <f>IF(Eksplikatsioon!D76=0,"",Eksplikatsioon!D76)</f>
        <v>Kabinet/Büroo</v>
      </c>
      <c r="E75" s="58">
        <f>IF(Eksplikatsioon!F76=0,"",Eksplikatsioon!F76)</f>
        <v>7.1</v>
      </c>
      <c r="F75" s="23" t="str">
        <f>IF(Eksplikatsioon!H76=0,"",Eksplikatsioon!H76)</f>
        <v/>
      </c>
      <c r="G75" s="23" t="str">
        <f>IF(Eksplikatsioon!J76=0,"",Eksplikatsioon!J76)</f>
        <v>Ainukasutuses pind</v>
      </c>
      <c r="H75" s="23" t="str">
        <f>IF(Eksplikatsioon!K76=0,"",Eksplikatsioon!K76)</f>
        <v>Põlvamaa Arenduskeskus SA</v>
      </c>
      <c r="I75" s="23" t="str">
        <f>IF(Eksplikatsioon!L76=0,"",Eksplikatsioon!L76)</f>
        <v>KESK20POLVA_15</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25">
      <c r="A76" s="23" t="str">
        <f>IF(Eksplikatsioon!A77=0,"",Eksplikatsioon!A77)</f>
        <v>02</v>
      </c>
      <c r="B76" s="60" t="str">
        <f>IF(Eksplikatsioon!B77=0,"",Eksplikatsioon!B77)</f>
        <v>217</v>
      </c>
      <c r="C76" s="23" t="str">
        <f>IF(Eksplikatsioon!C77=0,"",Eksplikatsioon!C77)</f>
        <v>ÜÜRITAV PIND</v>
      </c>
      <c r="D76" s="23" t="str">
        <f>IF(Eksplikatsioon!D77=0,"",Eksplikatsioon!D77)</f>
        <v>Kabinet/Büroo</v>
      </c>
      <c r="E76" s="58">
        <f>IF(Eksplikatsioon!F77=0,"",Eksplikatsioon!F77)</f>
        <v>19.600000000000001</v>
      </c>
      <c r="F76" s="23" t="str">
        <f>IF(Eksplikatsioon!H77=0,"",Eksplikatsioon!H77)</f>
        <v/>
      </c>
      <c r="G76" s="23" t="str">
        <f>IF(Eksplikatsioon!J77=0,"",Eksplikatsioon!J77)</f>
        <v>Ainukasutuses pind</v>
      </c>
      <c r="H76" s="23" t="str">
        <f>IF(Eksplikatsioon!K77=0,"",Eksplikatsioon!K77)</f>
        <v>Põlvamaa Arenduskeskus SA</v>
      </c>
      <c r="I76" s="23" t="str">
        <f>IF(Eksplikatsioon!L77=0,"",Eksplikatsioon!L77)</f>
        <v>KESK20POLVA_15</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25">
      <c r="A77" s="23" t="str">
        <f>IF(Eksplikatsioon!A78=0,"",Eksplikatsioon!A78)</f>
        <v>02</v>
      </c>
      <c r="B77" s="60" t="str">
        <f>IF(Eksplikatsioon!B78=0,"",Eksplikatsioon!B78)</f>
        <v>218</v>
      </c>
      <c r="C77" s="23" t="str">
        <f>IF(Eksplikatsioon!C78=0,"",Eksplikatsioon!C78)</f>
        <v>VERTIKAALSETE ÜHENDUSTEEDE PIND</v>
      </c>
      <c r="D77" s="23" t="str">
        <f>IF(Eksplikatsioon!D78=0,"",Eksplikatsioon!D78)</f>
        <v>Trepp/Trepikoda</v>
      </c>
      <c r="E77" s="58">
        <f>IF(Eksplikatsioon!F78=0,"",Eksplikatsioon!F78)</f>
        <v>14.6</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25">
      <c r="A78" s="23" t="str">
        <f>IF(Eksplikatsioon!A79=0,"",Eksplikatsioon!A79)</f>
        <v>02</v>
      </c>
      <c r="B78" s="60" t="str">
        <f>IF(Eksplikatsioon!B79=0,"",Eksplikatsioon!B79)</f>
        <v>219</v>
      </c>
      <c r="C78" s="23" t="str">
        <f>IF(Eksplikatsioon!C79=0,"",Eksplikatsioon!C79)</f>
        <v>ÜÜRITAV PIND</v>
      </c>
      <c r="D78" s="23" t="str">
        <f>IF(Eksplikatsioon!D79=0,"",Eksplikatsioon!D79)</f>
        <v>Kabinet/Büroo</v>
      </c>
      <c r="E78" s="58">
        <f>IF(Eksplikatsioon!F79=0,"",Eksplikatsioon!F79)</f>
        <v>7.7</v>
      </c>
      <c r="F78" s="23" t="str">
        <f>IF(Eksplikatsioon!H79=0,"",Eksplikatsioon!H79)</f>
        <v/>
      </c>
      <c r="G78" s="23" t="str">
        <f>IF(Eksplikatsioon!J79=0,"",Eksplikatsioon!J79)</f>
        <v>Ainukasutuses pind</v>
      </c>
      <c r="H78" s="23" t="str">
        <f>IF(Eksplikatsioon!K79=0,"",Eksplikatsioon!K79)</f>
        <v>Aktiivne vakantsus</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25">
      <c r="A79" s="23" t="str">
        <f>IF(Eksplikatsioon!A80=0,"",Eksplikatsioon!A80)</f>
        <v>02</v>
      </c>
      <c r="B79" s="60" t="str">
        <f>IF(Eksplikatsioon!B80=0,"",Eksplikatsioon!B80)</f>
        <v>220</v>
      </c>
      <c r="C79" s="23" t="str">
        <f>IF(Eksplikatsioon!C80=0,"",Eksplikatsioon!C80)</f>
        <v>ÜÜRITAV PIND</v>
      </c>
      <c r="D79" s="23" t="str">
        <f>IF(Eksplikatsioon!D80=0,"",Eksplikatsioon!D80)</f>
        <v>Arhiiv</v>
      </c>
      <c r="E79" s="58">
        <f>IF(Eksplikatsioon!F80=0,"",Eksplikatsioon!F80)</f>
        <v>9.1</v>
      </c>
      <c r="F79" s="23" t="str">
        <f>IF(Eksplikatsioon!H80=0,"",Eksplikatsioon!H80)</f>
        <v/>
      </c>
      <c r="G79" s="23" t="str">
        <f>IF(Eksplikatsioon!J80=0,"",Eksplikatsioon!J80)</f>
        <v>Ainukasutuses pind</v>
      </c>
      <c r="H79" s="23" t="str">
        <f>IF(Eksplikatsioon!K80=0,"",Eksplikatsioon!K80)</f>
        <v>Aktiivne vakantsus</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25">
      <c r="A80" s="23" t="str">
        <f>IF(Eksplikatsioon!A81=0,"",Eksplikatsioon!A81)</f>
        <v>02</v>
      </c>
      <c r="B80" s="60" t="str">
        <f>IF(Eksplikatsioon!B81=0,"",Eksplikatsioon!B81)</f>
        <v>221</v>
      </c>
      <c r="C80" s="23" t="str">
        <f>IF(Eksplikatsioon!C81=0,"",Eksplikatsioon!C81)</f>
        <v>ÜÜRITAV PIND</v>
      </c>
      <c r="D80" s="23" t="str">
        <f>IF(Eksplikatsioon!D81=0,"",Eksplikatsioon!D81)</f>
        <v>Kabinet/Büroo</v>
      </c>
      <c r="E80" s="58">
        <f>IF(Eksplikatsioon!F81=0,"",Eksplikatsioon!F81)</f>
        <v>13.6</v>
      </c>
      <c r="F80" s="23" t="str">
        <f>IF(Eksplikatsioon!H81=0,"",Eksplikatsioon!H81)</f>
        <v/>
      </c>
      <c r="G80" s="23" t="str">
        <f>IF(Eksplikatsioon!J81=0,"",Eksplikatsioon!J81)</f>
        <v>Ainukasutuses pind</v>
      </c>
      <c r="H80" s="23" t="str">
        <f>IF(Eksplikatsioon!K81=0,"",Eksplikatsioon!K81)</f>
        <v>Põlvamaa Arenduskeskus SA</v>
      </c>
      <c r="I80" s="23" t="str">
        <f>IF(Eksplikatsioon!L81=0,"",Eksplikatsioon!L81)</f>
        <v>KESK20POLVA_15</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25">
      <c r="A81" s="23" t="str">
        <f>IF(Eksplikatsioon!A82=0,"",Eksplikatsioon!A82)</f>
        <v>02</v>
      </c>
      <c r="B81" s="60" t="str">
        <f>IF(Eksplikatsioon!B82=0,"",Eksplikatsioon!B82)</f>
        <v>222</v>
      </c>
      <c r="C81" s="23" t="str">
        <f>IF(Eksplikatsioon!C82=0,"",Eksplikatsioon!C82)</f>
        <v>ÜÜRITAV PIND</v>
      </c>
      <c r="D81" s="23" t="str">
        <f>IF(Eksplikatsioon!D82=0,"",Eksplikatsioon!D82)</f>
        <v>Kabinet/Büroo</v>
      </c>
      <c r="E81" s="58">
        <f>IF(Eksplikatsioon!F82=0,"",Eksplikatsioon!F82)</f>
        <v>13.3</v>
      </c>
      <c r="F81" s="23" t="str">
        <f>IF(Eksplikatsioon!H82=0,"",Eksplikatsioon!H82)</f>
        <v/>
      </c>
      <c r="G81" s="23" t="str">
        <f>IF(Eksplikatsioon!J82=0,"",Eksplikatsioon!J82)</f>
        <v>Ainukasutuses pind</v>
      </c>
      <c r="H81" s="23" t="str">
        <f>IF(Eksplikatsioon!K82=0,"",Eksplikatsioon!K82)</f>
        <v>Aktiivne vakantsus</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25">
      <c r="A82" s="23" t="str">
        <f>IF(Eksplikatsioon!A83=0,"",Eksplikatsioon!A83)</f>
        <v>02</v>
      </c>
      <c r="B82" s="60" t="str">
        <f>IF(Eksplikatsioon!B83=0,"",Eksplikatsioon!B83)</f>
        <v>223</v>
      </c>
      <c r="C82" s="23" t="str">
        <f>IF(Eksplikatsioon!C83=0,"",Eksplikatsioon!C83)</f>
        <v>ÜÜRITAV PIND</v>
      </c>
      <c r="D82" s="23" t="str">
        <f>IF(Eksplikatsioon!D83=0,"",Eksplikatsioon!D83)</f>
        <v>Abiruum</v>
      </c>
      <c r="E82" s="58">
        <f>IF(Eksplikatsioon!F83=0,"",Eksplikatsioon!F83)</f>
        <v>8.1</v>
      </c>
      <c r="F82" s="23" t="str">
        <f>IF(Eksplikatsioon!H83=0,"",Eksplikatsioon!H83)</f>
        <v/>
      </c>
      <c r="G82" s="23" t="str">
        <f>IF(Eksplikatsioon!J83=0,"",Eksplikatsioon!J83)</f>
        <v>Ainukasutuses pind</v>
      </c>
      <c r="H82" s="23" t="str">
        <f>IF(Eksplikatsioon!K83=0,"",Eksplikatsioon!K83)</f>
        <v>Põlvamaa Arenduskeskus SA</v>
      </c>
      <c r="I82" s="23" t="str">
        <f>IF(Eksplikatsioon!L83=0,"",Eksplikatsioon!L83)</f>
        <v>KESK20POLVA_15</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25">
      <c r="A83" s="23" t="str">
        <f>IF(Eksplikatsioon!A84=0,"",Eksplikatsioon!A84)</f>
        <v>02</v>
      </c>
      <c r="B83" s="60" t="str">
        <f>IF(Eksplikatsioon!B84=0,"",Eksplikatsioon!B84)</f>
        <v>224</v>
      </c>
      <c r="C83" s="23" t="str">
        <f>IF(Eksplikatsioon!C84=0,"",Eksplikatsioon!C84)</f>
        <v>ÜÜRITAV PIND</v>
      </c>
      <c r="D83" s="23" t="str">
        <f>IF(Eksplikatsioon!D84=0,"",Eksplikatsioon!D84)</f>
        <v>Kabinet/Büroo</v>
      </c>
      <c r="E83" s="58">
        <f>IF(Eksplikatsioon!F84=0,"",Eksplikatsioon!F84)</f>
        <v>21</v>
      </c>
      <c r="F83" s="23" t="str">
        <f>IF(Eksplikatsioon!H84=0,"",Eksplikatsioon!H84)</f>
        <v/>
      </c>
      <c r="G83" s="23" t="str">
        <f>IF(Eksplikatsioon!J84=0,"",Eksplikatsioon!J84)</f>
        <v>Ainukasutuses pind</v>
      </c>
      <c r="H83" s="23" t="str">
        <f>IF(Eksplikatsioon!K84=0,"",Eksplikatsioon!K84)</f>
        <v>Põlvamaa Arenduskeskus SA</v>
      </c>
      <c r="I83" s="23" t="str">
        <f>IF(Eksplikatsioon!L84=0,"",Eksplikatsioon!L84)</f>
        <v>KESK20POLVA_15</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25">
      <c r="A84" s="23" t="str">
        <f>IF(Eksplikatsioon!A85=0,"",Eksplikatsioon!A85)</f>
        <v>02</v>
      </c>
      <c r="B84" s="60" t="str">
        <f>IF(Eksplikatsioon!B85=0,"",Eksplikatsioon!B85)</f>
        <v>225</v>
      </c>
      <c r="C84" s="23" t="str">
        <f>IF(Eksplikatsioon!C85=0,"",Eksplikatsioon!C85)</f>
        <v>ÜÜRITAV PIND</v>
      </c>
      <c r="D84" s="23" t="str">
        <f>IF(Eksplikatsioon!D85=0,"",Eksplikatsioon!D85)</f>
        <v>Kabinet/Büroo</v>
      </c>
      <c r="E84" s="58">
        <f>IF(Eksplikatsioon!F85=0,"",Eksplikatsioon!F85)</f>
        <v>52.4</v>
      </c>
      <c r="F84" s="23" t="str">
        <f>IF(Eksplikatsioon!H85=0,"",Eksplikatsioon!H85)</f>
        <v/>
      </c>
      <c r="G84" s="23" t="str">
        <f>IF(Eksplikatsioon!J85=0,"",Eksplikatsioon!J85)</f>
        <v>Ainukasutuses pind</v>
      </c>
      <c r="H84" s="23" t="str">
        <f>IF(Eksplikatsioon!K85=0,"",Eksplikatsioon!K85)</f>
        <v>Põlvamaa Arenduskeskus SA</v>
      </c>
      <c r="I84" s="23" t="str">
        <f>IF(Eksplikatsioon!L85=0,"",Eksplikatsioon!L85)</f>
        <v>KESK20POLVA_15</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25">
      <c r="A85" s="23" t="str">
        <f>IF(Eksplikatsioon!A86=0,"",Eksplikatsioon!A86)</f>
        <v>02</v>
      </c>
      <c r="B85" s="60" t="str">
        <f>IF(Eksplikatsioon!B86=0,"",Eksplikatsioon!B86)</f>
        <v>226</v>
      </c>
      <c r="C85" s="23" t="str">
        <f>IF(Eksplikatsioon!C86=0,"",Eksplikatsioon!C86)</f>
        <v>TEHNOPIND</v>
      </c>
      <c r="D85" s="23" t="str">
        <f>IF(Eksplikatsioon!D86=0,"",Eksplikatsioon!D86)</f>
        <v>Elektrikilp</v>
      </c>
      <c r="E85" s="58">
        <f>IF(Eksplikatsioon!F86=0,"",Eksplikatsioon!F86)</f>
        <v>3.7</v>
      </c>
      <c r="F85" s="23" t="str">
        <f>IF(Eksplikatsioon!H86=0,"",Eksplikatsioon!H86)</f>
        <v/>
      </c>
      <c r="G85" s="23" t="str">
        <f>IF(Eksplikatsioon!J86=0,"",Eksplikatsioon!J86)</f>
        <v/>
      </c>
      <c r="H85" s="23" t="str">
        <f>IF(Eksplikatsioon!K86=0,"",Eksplikatsioon!K86)</f>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25">
      <c r="A86" s="23" t="str">
        <f>IF(Eksplikatsioon!A87=0,"",Eksplikatsioon!A87)</f>
        <v>02</v>
      </c>
      <c r="B86" s="60" t="str">
        <f>IF(Eksplikatsioon!B87=0,"",Eksplikatsioon!B87)</f>
        <v>227</v>
      </c>
      <c r="C86" s="23" t="str">
        <f>IF(Eksplikatsioon!C87=0,"",Eksplikatsioon!C87)</f>
        <v>ÜÜRITAV PIND</v>
      </c>
      <c r="D86" s="23" t="str">
        <f>IF(Eksplikatsioon!D87=0,"",Eksplikatsioon!D87)</f>
        <v>Kabinet/Büroo</v>
      </c>
      <c r="E86" s="58">
        <f>IF(Eksplikatsioon!F87=0,"",Eksplikatsioon!F87)</f>
        <v>19</v>
      </c>
      <c r="F86" s="23" t="str">
        <f>IF(Eksplikatsioon!H87=0,"",Eksplikatsioon!H87)</f>
        <v/>
      </c>
      <c r="G86" s="23" t="str">
        <f>IF(Eksplikatsioon!J87=0,"",Eksplikatsioon!J87)</f>
        <v>Ainukasutuses pind</v>
      </c>
      <c r="H86" s="23" t="str">
        <f>IF(Eksplikatsioon!K87=0,"",Eksplikatsioon!K87)</f>
        <v>Maa- ja Ruumiamet</v>
      </c>
      <c r="I86" s="23" t="str">
        <f>IF(Eksplikatsioon!L87=0,"",Eksplikatsioon!L87)</f>
        <v>KESK20POLVA_20</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25">
      <c r="A87" s="23" t="str">
        <f>IF(Eksplikatsioon!A88=0,"",Eksplikatsioon!A88)</f>
        <v>02</v>
      </c>
      <c r="B87" s="60" t="str">
        <f>IF(Eksplikatsioon!B88=0,"",Eksplikatsioon!B88)</f>
        <v>228</v>
      </c>
      <c r="C87" s="23" t="str">
        <f>IF(Eksplikatsioon!C88=0,"",Eksplikatsioon!C88)</f>
        <v>ÜÜRITAV PIND</v>
      </c>
      <c r="D87" s="23" t="str">
        <f>IF(Eksplikatsioon!D88=0,"",Eksplikatsioon!D88)</f>
        <v>Kabinet/Büroo</v>
      </c>
      <c r="E87" s="58">
        <f>IF(Eksplikatsioon!F88=0,"",Eksplikatsioon!F88)</f>
        <v>9.8000000000000007</v>
      </c>
      <c r="F87" s="23" t="str">
        <f>IF(Eksplikatsioon!H88=0,"",Eksplikatsioon!H88)</f>
        <v/>
      </c>
      <c r="G87" s="23" t="str">
        <f>IF(Eksplikatsioon!J88=0,"",Eksplikatsioon!J88)</f>
        <v>Ainukasutuses pind</v>
      </c>
      <c r="H87" s="23" t="str">
        <f>IF(Eksplikatsioon!K88=0,"",Eksplikatsioon!K88)</f>
        <v>Maa- ja Ruumiamet</v>
      </c>
      <c r="I87" s="23" t="str">
        <f>IF(Eksplikatsioon!L88=0,"",Eksplikatsioon!L88)</f>
        <v>KESK20POLVA_20</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25">
      <c r="A88" s="23" t="str">
        <f>IF(Eksplikatsioon!A89=0,"",Eksplikatsioon!A89)</f>
        <v>02</v>
      </c>
      <c r="B88" s="60" t="str">
        <f>IF(Eksplikatsioon!B89=0,"",Eksplikatsioon!B89)</f>
        <v>229</v>
      </c>
      <c r="C88" s="23" t="str">
        <f>IF(Eksplikatsioon!C89=0,"",Eksplikatsioon!C89)</f>
        <v>ÜÜRITAV PIND</v>
      </c>
      <c r="D88" s="23" t="str">
        <f>IF(Eksplikatsioon!D89=0,"",Eksplikatsioon!D89)</f>
        <v>Kabinet/Büroo</v>
      </c>
      <c r="E88" s="58">
        <f>IF(Eksplikatsioon!F89=0,"",Eksplikatsioon!F89)</f>
        <v>11.3</v>
      </c>
      <c r="F88" s="23" t="str">
        <f>IF(Eksplikatsioon!H89=0,"",Eksplikatsioon!H89)</f>
        <v/>
      </c>
      <c r="G88" s="23" t="str">
        <f>IF(Eksplikatsioon!J89=0,"",Eksplikatsioon!J89)</f>
        <v>Ainukasutuses pind</v>
      </c>
      <c r="H88" s="23" t="str">
        <f>IF(Eksplikatsioon!K89=0,"",Eksplikatsioon!K89)</f>
        <v>Maa- ja Ruumiamet</v>
      </c>
      <c r="I88" s="23" t="str">
        <f>IF(Eksplikatsioon!L89=0,"",Eksplikatsioon!L89)</f>
        <v>KESK20POLVA_20</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25">
      <c r="A89" s="23" t="str">
        <f>IF(Eksplikatsioon!A90=0,"",Eksplikatsioon!A90)</f>
        <v>02</v>
      </c>
      <c r="B89" s="60" t="str">
        <f>IF(Eksplikatsioon!B90=0,"",Eksplikatsioon!B90)</f>
        <v>230</v>
      </c>
      <c r="C89" s="23" t="str">
        <f>IF(Eksplikatsioon!C90=0,"",Eksplikatsioon!C90)</f>
        <v>ÜÜRITAV PIND</v>
      </c>
      <c r="D89" s="23" t="str">
        <f>IF(Eksplikatsioon!D90=0,"",Eksplikatsioon!D90)</f>
        <v>Kabinet/Büroo</v>
      </c>
      <c r="E89" s="58">
        <f>IF(Eksplikatsioon!F90=0,"",Eksplikatsioon!F90)</f>
        <v>13.5</v>
      </c>
      <c r="F89" s="23" t="str">
        <f>IF(Eksplikatsioon!H90=0,"",Eksplikatsioon!H90)</f>
        <v/>
      </c>
      <c r="G89" s="23" t="str">
        <f>IF(Eksplikatsioon!J90=0,"",Eksplikatsioon!J90)</f>
        <v>Ainukasutuses pind</v>
      </c>
      <c r="H89" s="23" t="str">
        <f>IF(Eksplikatsioon!K90=0,"",Eksplikatsioon!K90)</f>
        <v>Maa- ja Ruumiamet</v>
      </c>
      <c r="I89" s="23" t="str">
        <f>IF(Eksplikatsioon!L90=0,"",Eksplikatsioon!L90)</f>
        <v>KESK20POLVA_20</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25">
      <c r="A90" s="23" t="str">
        <f>IF(Eksplikatsioon!A91=0,"",Eksplikatsioon!A91)</f>
        <v>02</v>
      </c>
      <c r="B90" s="60" t="str">
        <f>IF(Eksplikatsioon!B91=0,"",Eksplikatsioon!B91)</f>
        <v>231</v>
      </c>
      <c r="C90" s="23" t="str">
        <f>IF(Eksplikatsioon!C91=0,"",Eksplikatsioon!C91)</f>
        <v>ÜÜRITAV PIND</v>
      </c>
      <c r="D90" s="23" t="str">
        <f>IF(Eksplikatsioon!D91=0,"",Eksplikatsioon!D91)</f>
        <v>Kabinet/Büroo</v>
      </c>
      <c r="E90" s="58">
        <f>IF(Eksplikatsioon!F91=0,"",Eksplikatsioon!F91)</f>
        <v>7.8</v>
      </c>
      <c r="F90" s="23" t="str">
        <f>IF(Eksplikatsioon!H91=0,"",Eksplikatsioon!H91)</f>
        <v/>
      </c>
      <c r="G90" s="23" t="str">
        <f>IF(Eksplikatsioon!J91=0,"",Eksplikatsioon!J91)</f>
        <v>Ainukasutuses pind</v>
      </c>
      <c r="H90" s="23" t="str">
        <f>IF(Eksplikatsioon!K91=0,"",Eksplikatsioon!K91)</f>
        <v>Aktiivne vakantsus</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25">
      <c r="A91" s="23" t="str">
        <f>IF(Eksplikatsioon!A92=0,"",Eksplikatsioon!A92)</f>
        <v>02</v>
      </c>
      <c r="B91" s="60" t="str">
        <f>IF(Eksplikatsioon!B92=0,"",Eksplikatsioon!B92)</f>
        <v>232</v>
      </c>
      <c r="C91" s="23" t="str">
        <f>IF(Eksplikatsioon!C92=0,"",Eksplikatsioon!C92)</f>
        <v>ÜÜRITAV PIND</v>
      </c>
      <c r="D91" s="23" t="str">
        <f>IF(Eksplikatsioon!D92=0,"",Eksplikatsioon!D92)</f>
        <v>Kabinet/Büroo</v>
      </c>
      <c r="E91" s="58">
        <f>IF(Eksplikatsioon!F92=0,"",Eksplikatsioon!F92)</f>
        <v>20.8</v>
      </c>
      <c r="F91" s="23" t="str">
        <f>IF(Eksplikatsioon!H92=0,"",Eksplikatsioon!H92)</f>
        <v/>
      </c>
      <c r="G91" s="23" t="str">
        <f>IF(Eksplikatsioon!J92=0,"",Eksplikatsioon!J92)</f>
        <v>Ainukasutuses pind</v>
      </c>
      <c r="H91" s="23" t="str">
        <f>IF(Eksplikatsioon!K92=0,"",Eksplikatsioon!K92)</f>
        <v>Põlvamaa Maakonna Spordiliit</v>
      </c>
      <c r="I91" s="23" t="str">
        <f>IF(Eksplikatsioon!L92=0,"",Eksplikatsioon!L92)</f>
        <v>KESK20POLVA_14</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25">
      <c r="A92" s="23" t="str">
        <f>IF(Eksplikatsioon!A93=0,"",Eksplikatsioon!A93)</f>
        <v>03</v>
      </c>
      <c r="B92" s="60" t="str">
        <f>IF(Eksplikatsioon!B93=0,"",Eksplikatsioon!B93)</f>
        <v>301</v>
      </c>
      <c r="C92" s="23" t="str">
        <f>IF(Eksplikatsioon!C93=0,"",Eksplikatsioon!C93)</f>
        <v>VERTIKAALSETE ÜHENDUSTEEDE PIND</v>
      </c>
      <c r="D92" s="23" t="str">
        <f>IF(Eksplikatsioon!D93=0,"",Eksplikatsioon!D93)</f>
        <v>Trepp/Trepikoda</v>
      </c>
      <c r="E92" s="58">
        <f>IF(Eksplikatsioon!F93=0,"",Eksplikatsioon!F93)</f>
        <v>14.3</v>
      </c>
      <c r="F92" s="23" t="str">
        <f>IF(Eksplikatsioon!H93=0,"",Eksplikatsioon!H93)</f>
        <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25">
      <c r="A93" s="23" t="str">
        <f>IF(Eksplikatsioon!A94=0,"",Eksplikatsioon!A94)</f>
        <v>03</v>
      </c>
      <c r="B93" s="60" t="str">
        <f>IF(Eksplikatsioon!B94=0,"",Eksplikatsioon!B94)</f>
        <v>302</v>
      </c>
      <c r="C93" s="23" t="str">
        <f>IF(Eksplikatsioon!C94=0,"",Eksplikatsioon!C94)</f>
        <v>ÜÜRITAV PIND</v>
      </c>
      <c r="D93" s="23" t="str">
        <f>IF(Eksplikatsioon!D94=0,"",Eksplikatsioon!D94)</f>
        <v>Koridor</v>
      </c>
      <c r="E93" s="58">
        <f>IF(Eksplikatsioon!F94=0,"",Eksplikatsioon!F94)</f>
        <v>29.5</v>
      </c>
      <c r="F93" s="23" t="str">
        <f>IF(Eksplikatsioon!H94=0,"",Eksplikatsioon!H94)</f>
        <v/>
      </c>
      <c r="G93" s="23" t="str">
        <f>IF(Eksplikatsioon!J94=0,"",Eksplikatsioon!J94)</f>
        <v>Ühiskasutuses korruse pind</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25">
      <c r="A94" s="23" t="str">
        <f>IF(Eksplikatsioon!A95=0,"",Eksplikatsioon!A95)</f>
        <v>03</v>
      </c>
      <c r="B94" s="60" t="str">
        <f>IF(Eksplikatsioon!B95=0,"",Eksplikatsioon!B95)</f>
        <v>303</v>
      </c>
      <c r="C94" s="23" t="str">
        <f>IF(Eksplikatsioon!C95=0,"",Eksplikatsioon!C95)</f>
        <v>ÜÜRITAV PIND</v>
      </c>
      <c r="D94" s="23" t="str">
        <f>IF(Eksplikatsioon!D95=0,"",Eksplikatsioon!D95)</f>
        <v>Kabinet/Büroo</v>
      </c>
      <c r="E94" s="58">
        <f>IF(Eksplikatsioon!F95=0,"",Eksplikatsioon!F95)</f>
        <v>10.3</v>
      </c>
      <c r="F94" s="23" t="str">
        <f>IF(Eksplikatsioon!H95=0,"",Eksplikatsioon!H95)</f>
        <v/>
      </c>
      <c r="G94" s="23" t="str">
        <f>IF(Eksplikatsioon!J95=0,"",Eksplikatsioon!J95)</f>
        <v>Ainukasutuses pind</v>
      </c>
      <c r="H94" s="23" t="str">
        <f>IF(Eksplikatsioon!K95=0,"",Eksplikatsioon!K95)</f>
        <v>Aktiivne vakantsus</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25">
      <c r="A95" s="23" t="str">
        <f>IF(Eksplikatsioon!A96=0,"",Eksplikatsioon!A96)</f>
        <v>03</v>
      </c>
      <c r="B95" s="60" t="str">
        <f>IF(Eksplikatsioon!B96=0,"",Eksplikatsioon!B96)</f>
        <v>304</v>
      </c>
      <c r="C95" s="23" t="str">
        <f>IF(Eksplikatsioon!C96=0,"",Eksplikatsioon!C96)</f>
        <v>ÜÜRITAV PIND</v>
      </c>
      <c r="D95" s="23" t="str">
        <f>IF(Eksplikatsioon!D96=0,"",Eksplikatsioon!D96)</f>
        <v>Kabinet/Büroo</v>
      </c>
      <c r="E95" s="58">
        <f>IF(Eksplikatsioon!F96=0,"",Eksplikatsioon!F96)</f>
        <v>10.6</v>
      </c>
      <c r="F95" s="23" t="str">
        <f>IF(Eksplikatsioon!H96=0,"",Eksplikatsioon!H96)</f>
        <v/>
      </c>
      <c r="G95" s="23" t="str">
        <f>IF(Eksplikatsioon!J96=0,"",Eksplikatsioon!J96)</f>
        <v>Ainukasutuses pind</v>
      </c>
      <c r="H95" s="23" t="str">
        <f>IF(Eksplikatsioon!K96=0,"",Eksplikatsioon!K96)</f>
        <v>MTÜ Kagu Ühistranspordikeskus</v>
      </c>
      <c r="I95" s="23" t="str">
        <f>IF(Eksplikatsioon!L96=0,"",Eksplikatsioon!L96)</f>
        <v>KESK20POLVA_13</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25">
      <c r="A96" s="23" t="str">
        <f>IF(Eksplikatsioon!A97=0,"",Eksplikatsioon!A97)</f>
        <v>03</v>
      </c>
      <c r="B96" s="60" t="str">
        <f>IF(Eksplikatsioon!B97=0,"",Eksplikatsioon!B97)</f>
        <v>305</v>
      </c>
      <c r="C96" s="23" t="str">
        <f>IF(Eksplikatsioon!C97=0,"",Eksplikatsioon!C97)</f>
        <v>ÜÜRITAV PIND</v>
      </c>
      <c r="D96" s="23" t="str">
        <f>IF(Eksplikatsioon!D97=0,"",Eksplikatsioon!D97)</f>
        <v>Kabinet/Büroo</v>
      </c>
      <c r="E96" s="58">
        <f>IF(Eksplikatsioon!F97=0,"",Eksplikatsioon!F97)</f>
        <v>10.6</v>
      </c>
      <c r="F96" s="23" t="str">
        <f>IF(Eksplikatsioon!H97=0,"",Eksplikatsioon!H97)</f>
        <v/>
      </c>
      <c r="G96" s="23" t="str">
        <f>IF(Eksplikatsioon!J97=0,"",Eksplikatsioon!J97)</f>
        <v>Ainukasutuses pind</v>
      </c>
      <c r="H96" s="23" t="str">
        <f>IF(Eksplikatsioon!K97=0,"",Eksplikatsioon!K97)</f>
        <v>MTÜ Kagu Ühistranspordikeskus</v>
      </c>
      <c r="I96" s="23" t="str">
        <f>IF(Eksplikatsioon!L97=0,"",Eksplikatsioon!L97)</f>
        <v>KESK20POLVA_13</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25">
      <c r="A97" s="23" t="str">
        <f>IF(Eksplikatsioon!A98=0,"",Eksplikatsioon!A98)</f>
        <v>03</v>
      </c>
      <c r="B97" s="60" t="str">
        <f>IF(Eksplikatsioon!B98=0,"",Eksplikatsioon!B98)</f>
        <v>306</v>
      </c>
      <c r="C97" s="23" t="str">
        <f>IF(Eksplikatsioon!C98=0,"",Eksplikatsioon!C98)</f>
        <v>ÜÜRITAV PIND</v>
      </c>
      <c r="D97" s="23" t="str">
        <f>IF(Eksplikatsioon!D98=0,"",Eksplikatsioon!D98)</f>
        <v>Kabinet/Büroo</v>
      </c>
      <c r="E97" s="58">
        <f>IF(Eksplikatsioon!F98=0,"",Eksplikatsioon!F98)</f>
        <v>13.2</v>
      </c>
      <c r="F97" s="23" t="str">
        <f>IF(Eksplikatsioon!H98=0,"",Eksplikatsioon!H98)</f>
        <v/>
      </c>
      <c r="G97" s="23" t="str">
        <f>IF(Eksplikatsioon!J98=0,"",Eksplikatsioon!J98)</f>
        <v>Ainukasutuses pind</v>
      </c>
      <c r="H97" s="23" t="str">
        <f>IF(Eksplikatsioon!K98=0,"",Eksplikatsioon!K98)</f>
        <v>Aktiivne vakantsus</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25">
      <c r="A98" s="23" t="str">
        <f>IF(Eksplikatsioon!A99=0,"",Eksplikatsioon!A99)</f>
        <v>03</v>
      </c>
      <c r="B98" s="60" t="str">
        <f>IF(Eksplikatsioon!B99=0,"",Eksplikatsioon!B99)</f>
        <v>307</v>
      </c>
      <c r="C98" s="23" t="str">
        <f>IF(Eksplikatsioon!C99=0,"",Eksplikatsioon!C99)</f>
        <v>ÜÜRITAV PIND</v>
      </c>
      <c r="D98" s="23" t="str">
        <f>IF(Eksplikatsioon!D99=0,"",Eksplikatsioon!D99)</f>
        <v>Abiruum</v>
      </c>
      <c r="E98" s="58">
        <f>IF(Eksplikatsioon!F99=0,"",Eksplikatsioon!F99)</f>
        <v>6.4</v>
      </c>
      <c r="F98" s="23" t="str">
        <f>IF(Eksplikatsioon!H99=0,"",Eksplikatsioon!H99)</f>
        <v/>
      </c>
      <c r="G98" s="23" t="str">
        <f>IF(Eksplikatsioon!J99=0,"",Eksplikatsioon!J99)</f>
        <v>Ainukasutuses pind</v>
      </c>
      <c r="H98" s="23" t="str">
        <f>IF(Eksplikatsioon!K99=0,"",Eksplikatsioon!K99)</f>
        <v>Aktiivne vakantsus</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25">
      <c r="A99" s="23" t="str">
        <f>IF(Eksplikatsioon!A100=0,"",Eksplikatsioon!A100)</f>
        <v>03</v>
      </c>
      <c r="B99" s="60" t="str">
        <f>IF(Eksplikatsioon!B100=0,"",Eksplikatsioon!B100)</f>
        <v>308</v>
      </c>
      <c r="C99" s="23" t="str">
        <f>IF(Eksplikatsioon!C100=0,"",Eksplikatsioon!C100)</f>
        <v>VERTIKAALSETE ÜHENDUSTEEDE PIND</v>
      </c>
      <c r="D99" s="23" t="str">
        <f>IF(Eksplikatsioon!D100=0,"",Eksplikatsioon!D100)</f>
        <v>Trepp/Trepikoda</v>
      </c>
      <c r="E99" s="58">
        <f>IF(Eksplikatsioon!F100=0,"",Eksplikatsioon!F100)</f>
        <v>18.5</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25">
      <c r="A100" s="23" t="str">
        <f>IF(Eksplikatsioon!A101=0,"",Eksplikatsioon!A101)</f>
        <v>03</v>
      </c>
      <c r="B100" s="60" t="str">
        <f>IF(Eksplikatsioon!B101=0,"",Eksplikatsioon!B101)</f>
        <v>309</v>
      </c>
      <c r="C100" s="23" t="str">
        <f>IF(Eksplikatsioon!C101=0,"",Eksplikatsioon!C101)</f>
        <v>ÜÜRITAV PIND</v>
      </c>
      <c r="D100" s="23" t="str">
        <f>IF(Eksplikatsioon!D101=0,"",Eksplikatsioon!D101)</f>
        <v>Aatrium/Fuajee</v>
      </c>
      <c r="E100" s="58">
        <f>IF(Eksplikatsioon!F101=0,"",Eksplikatsioon!F101)</f>
        <v>32.299999999999997</v>
      </c>
      <c r="F100" s="23" t="str">
        <f>IF(Eksplikatsioon!H101=0,"",Eksplikatsioon!H101)</f>
        <v/>
      </c>
      <c r="G100" s="23" t="str">
        <f>IF(Eksplikatsioon!J101=0,"",Eksplikatsioon!J101)</f>
        <v>Ühiskasutuses korruse pind</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25">
      <c r="A101" s="23" t="str">
        <f>IF(Eksplikatsioon!A102=0,"",Eksplikatsioon!A102)</f>
        <v>03</v>
      </c>
      <c r="B101" s="60" t="str">
        <f>IF(Eksplikatsioon!B102=0,"",Eksplikatsioon!B102)</f>
        <v>310</v>
      </c>
      <c r="C101" s="23" t="str">
        <f>IF(Eksplikatsioon!C102=0,"",Eksplikatsioon!C102)</f>
        <v>ÜÜRITAV PIND</v>
      </c>
      <c r="D101" s="23" t="str">
        <f>IF(Eksplikatsioon!D102=0,"",Eksplikatsioon!D102)</f>
        <v>Nõupidamise ruum</v>
      </c>
      <c r="E101" s="58">
        <f>IF(Eksplikatsioon!F102=0,"",Eksplikatsioon!F102)</f>
        <v>22.9</v>
      </c>
      <c r="F101" s="23" t="str">
        <f>IF(Eksplikatsioon!H102=0,"",Eksplikatsioon!H102)</f>
        <v/>
      </c>
      <c r="G101" s="23" t="str">
        <f>IF(Eksplikatsioon!J102=0,"",Eksplikatsioon!J102)</f>
        <v>Ainukasutuses pind</v>
      </c>
      <c r="H101" s="23" t="str">
        <f>IF(Eksplikatsioon!K102=0,"",Eksplikatsioon!K102)</f>
        <v>Rahandusministeerium</v>
      </c>
      <c r="I101" s="23" t="str">
        <f>IF(Eksplikatsioon!L102=0,"",Eksplikatsioon!L102)</f>
        <v>KESK20POLVA_19</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25">
      <c r="A102" s="23" t="str">
        <f>IF(Eksplikatsioon!A103=0,"",Eksplikatsioon!A103)</f>
        <v>03</v>
      </c>
      <c r="B102" s="60" t="str">
        <f>IF(Eksplikatsioon!B103=0,"",Eksplikatsioon!B103)</f>
        <v>311</v>
      </c>
      <c r="C102" s="23" t="str">
        <f>IF(Eksplikatsioon!C103=0,"",Eksplikatsioon!C103)</f>
        <v>ÜÜRITAV PIND</v>
      </c>
      <c r="D102" s="23" t="str">
        <f>IF(Eksplikatsioon!D103=0,"",Eksplikatsioon!D103)</f>
        <v>Kööginurk/Köök</v>
      </c>
      <c r="E102" s="58">
        <f>IF(Eksplikatsioon!F103=0,"",Eksplikatsioon!F103)</f>
        <v>9.6</v>
      </c>
      <c r="F102" s="23" t="str">
        <f>IF(Eksplikatsioon!H103=0,"",Eksplikatsioon!H103)</f>
        <v/>
      </c>
      <c r="G102" s="23" t="str">
        <f>IF(Eksplikatsioon!J103=0,"",Eksplikatsioon!J103)</f>
        <v>Ainukasutuses pind</v>
      </c>
      <c r="H102" s="23" t="str">
        <f>IF(Eksplikatsioon!K103=0,"",Eksplikatsioon!K103)</f>
        <v>Rahandusministeerium</v>
      </c>
      <c r="I102" s="23" t="str">
        <f>IF(Eksplikatsioon!L103=0,"",Eksplikatsioon!L103)</f>
        <v>KESK20POLVA_19</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25">
      <c r="A103" s="23" t="str">
        <f>IF(Eksplikatsioon!A104=0,"",Eksplikatsioon!A104)</f>
        <v>03</v>
      </c>
      <c r="B103" s="60" t="str">
        <f>IF(Eksplikatsioon!B104=0,"",Eksplikatsioon!B104)</f>
        <v>312</v>
      </c>
      <c r="C103" s="23" t="str">
        <f>IF(Eksplikatsioon!C104=0,"",Eksplikatsioon!C104)</f>
        <v>ÜÜRITAV PIND</v>
      </c>
      <c r="D103" s="23" t="str">
        <f>IF(Eksplikatsioon!D104=0,"",Eksplikatsioon!D104)</f>
        <v>Abiruum</v>
      </c>
      <c r="E103" s="58">
        <f>IF(Eksplikatsioon!F104=0,"",Eksplikatsioon!F104)</f>
        <v>9.6999999999999993</v>
      </c>
      <c r="F103" s="23" t="str">
        <f>IF(Eksplikatsioon!H104=0,"",Eksplikatsioon!H104)</f>
        <v/>
      </c>
      <c r="G103" s="23" t="str">
        <f>IF(Eksplikatsioon!J104=0,"",Eksplikatsioon!J104)</f>
        <v>Ainukasutuses pind</v>
      </c>
      <c r="H103" s="23" t="str">
        <f>IF(Eksplikatsioon!K104=0,"",Eksplikatsioon!K104)</f>
        <v>Rahandusministeerium</v>
      </c>
      <c r="I103" s="23" t="str">
        <f>IF(Eksplikatsioon!L104=0,"",Eksplikatsioon!L104)</f>
        <v>KESK20POLVA_19</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25">
      <c r="A104" s="23" t="str">
        <f>IF(Eksplikatsioon!A105=0,"",Eksplikatsioon!A105)</f>
        <v>03</v>
      </c>
      <c r="B104" s="60" t="str">
        <f>IF(Eksplikatsioon!B105=0,"",Eksplikatsioon!B105)</f>
        <v>313</v>
      </c>
      <c r="C104" s="23" t="str">
        <f>IF(Eksplikatsioon!C105=0,"",Eksplikatsioon!C105)</f>
        <v>ÜÜRITAV PIND</v>
      </c>
      <c r="D104" s="23" t="str">
        <f>IF(Eksplikatsioon!D105=0,"",Eksplikatsioon!D105)</f>
        <v>Saal</v>
      </c>
      <c r="E104" s="58">
        <f>IF(Eksplikatsioon!F105=0,"",Eksplikatsioon!F105)</f>
        <v>66.7</v>
      </c>
      <c r="F104" s="23" t="str">
        <f>IF(Eksplikatsioon!H105=0,"",Eksplikatsioon!H105)</f>
        <v/>
      </c>
      <c r="G104" s="23" t="str">
        <f>IF(Eksplikatsioon!J105=0,"",Eksplikatsioon!J105)</f>
        <v>Ainukasutuses pind</v>
      </c>
      <c r="H104" s="23" t="str">
        <f>IF(Eksplikatsioon!K105=0,"",Eksplikatsioon!K105)</f>
        <v>Rahandusministeerium</v>
      </c>
      <c r="I104" s="23" t="str">
        <f>IF(Eksplikatsioon!L105=0,"",Eksplikatsioon!L105)</f>
        <v>KESK20POLVA_19</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25">
      <c r="A105" s="23" t="str">
        <f>IF(Eksplikatsioon!A106=0,"",Eksplikatsioon!A106)</f>
        <v>03</v>
      </c>
      <c r="B105" s="60" t="str">
        <f>IF(Eksplikatsioon!B106=0,"",Eksplikatsioon!B106)</f>
        <v>314</v>
      </c>
      <c r="C105" s="23" t="str">
        <f>IF(Eksplikatsioon!C106=0,"",Eksplikatsioon!C106)</f>
        <v>VERTIKAALSETE ÜHENDUSTEEDE PIND</v>
      </c>
      <c r="D105" s="23" t="str">
        <f>IF(Eksplikatsioon!D106=0,"",Eksplikatsioon!D106)</f>
        <v>Trepp/Trepikoda</v>
      </c>
      <c r="E105" s="58">
        <f>IF(Eksplikatsioon!F106=0,"",Eksplikatsioon!F106)</f>
        <v>14.3</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25">
      <c r="A106" s="23" t="str">
        <f>IF(Eksplikatsioon!A107=0,"",Eksplikatsioon!A107)</f>
        <v>03</v>
      </c>
      <c r="B106" s="60" t="str">
        <f>IF(Eksplikatsioon!B107=0,"",Eksplikatsioon!B107)</f>
        <v>315</v>
      </c>
      <c r="C106" s="23" t="str">
        <f>IF(Eksplikatsioon!C107=0,"",Eksplikatsioon!C107)</f>
        <v>ÜÜRITAV PIND</v>
      </c>
      <c r="D106" s="23" t="str">
        <f>IF(Eksplikatsioon!D107=0,"",Eksplikatsioon!D107)</f>
        <v>Abiruum</v>
      </c>
      <c r="E106" s="58">
        <f>IF(Eksplikatsioon!F107=0,"",Eksplikatsioon!F107)</f>
        <v>9.1999999999999993</v>
      </c>
      <c r="F106" s="23" t="str">
        <f>IF(Eksplikatsioon!H107=0,"",Eksplikatsioon!H107)</f>
        <v/>
      </c>
      <c r="G106" s="23" t="str">
        <f>IF(Eksplikatsioon!J107=0,"",Eksplikatsioon!J107)</f>
        <v>Ainukasutuses pind</v>
      </c>
      <c r="H106" s="23" t="str">
        <f>IF(Eksplikatsioon!K107=0,"",Eksplikatsioon!K107)</f>
        <v>Aktiivne vakantsus</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25">
      <c r="A107" s="23" t="str">
        <f>IF(Eksplikatsioon!A108=0,"",Eksplikatsioon!A108)</f>
        <v>03</v>
      </c>
      <c r="B107" s="60" t="str">
        <f>IF(Eksplikatsioon!B108=0,"",Eksplikatsioon!B108)</f>
        <v>316</v>
      </c>
      <c r="C107" s="23" t="str">
        <f>IF(Eksplikatsioon!C108=0,"",Eksplikatsioon!C108)</f>
        <v>ÜÜRITAV PIND</v>
      </c>
      <c r="D107" s="23" t="str">
        <f>IF(Eksplikatsioon!D108=0,"",Eksplikatsioon!D108)</f>
        <v>Kabinet/Büroo</v>
      </c>
      <c r="E107" s="58">
        <f>IF(Eksplikatsioon!F108=0,"",Eksplikatsioon!F108)</f>
        <v>21.2</v>
      </c>
      <c r="F107" s="23" t="str">
        <f>IF(Eksplikatsioon!H108=0,"",Eksplikatsioon!H108)</f>
        <v/>
      </c>
      <c r="G107" s="23" t="str">
        <f>IF(Eksplikatsioon!J108=0,"",Eksplikatsioon!J108)</f>
        <v>Ainukasutuses pind</v>
      </c>
      <c r="H107" s="23" t="str">
        <f>IF(Eksplikatsioon!K108=0,"",Eksplikatsioon!K108)</f>
        <v>Aktiivne vakantsus</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25">
      <c r="A108" s="23" t="str">
        <f>IF(Eksplikatsioon!A109=0,"",Eksplikatsioon!A109)</f>
        <v>03</v>
      </c>
      <c r="B108" s="60" t="str">
        <f>IF(Eksplikatsioon!B109=0,"",Eksplikatsioon!B109)</f>
        <v>317</v>
      </c>
      <c r="C108" s="23" t="str">
        <f>IF(Eksplikatsioon!C109=0,"",Eksplikatsioon!C109)</f>
        <v>ÜÜRITAV PIND</v>
      </c>
      <c r="D108" s="23" t="str">
        <f>IF(Eksplikatsioon!D109=0,"",Eksplikatsioon!D109)</f>
        <v>Kabinet/Büroo</v>
      </c>
      <c r="E108" s="58">
        <f>IF(Eksplikatsioon!F109=0,"",Eksplikatsioon!F109)</f>
        <v>16.399999999999999</v>
      </c>
      <c r="F108" s="23" t="str">
        <f>IF(Eksplikatsioon!H109=0,"",Eksplikatsioon!H109)</f>
        <v/>
      </c>
      <c r="G108" s="23" t="str">
        <f>IF(Eksplikatsioon!J109=0,"",Eksplikatsioon!J109)</f>
        <v>Ainukasutuses pind</v>
      </c>
      <c r="H108" s="23" t="str">
        <f>IF(Eksplikatsioon!K109=0,"",Eksplikatsioon!K109)</f>
        <v>Aktiivne vakantsus</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25">
      <c r="A109" s="23" t="str">
        <f>IF(Eksplikatsioon!A110=0,"",Eksplikatsioon!A110)</f>
        <v>03</v>
      </c>
      <c r="B109" s="60" t="str">
        <f>IF(Eksplikatsioon!B110=0,"",Eksplikatsioon!B110)</f>
        <v>318</v>
      </c>
      <c r="C109" s="23" t="str">
        <f>IF(Eksplikatsioon!C110=0,"",Eksplikatsioon!C110)</f>
        <v>ÜÜRITAV PIND</v>
      </c>
      <c r="D109" s="23" t="str">
        <f>IF(Eksplikatsioon!D110=0,"",Eksplikatsioon!D110)</f>
        <v>Arhiiv</v>
      </c>
      <c r="E109" s="58">
        <f>IF(Eksplikatsioon!F110=0,"",Eksplikatsioon!F110)</f>
        <v>16.2</v>
      </c>
      <c r="F109" s="23" t="str">
        <f>IF(Eksplikatsioon!H110=0,"",Eksplikatsioon!H110)</f>
        <v/>
      </c>
      <c r="G109" s="23" t="str">
        <f>IF(Eksplikatsioon!J110=0,"",Eksplikatsioon!J110)</f>
        <v>Ainukasutuses pind</v>
      </c>
      <c r="H109" s="23" t="str">
        <f>IF(Eksplikatsioon!K110=0,"",Eksplikatsioon!K110)</f>
        <v>Aktiivne vakantsus</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25">
      <c r="A110" s="23" t="str">
        <f>IF(Eksplikatsioon!A111=0,"",Eksplikatsioon!A111)</f>
        <v>03</v>
      </c>
      <c r="B110" s="60" t="str">
        <f>IF(Eksplikatsioon!B111=0,"",Eksplikatsioon!B111)</f>
        <v>319</v>
      </c>
      <c r="C110" s="23" t="str">
        <f>IF(Eksplikatsioon!C111=0,"",Eksplikatsioon!C111)</f>
        <v>ÜÜRITAV PIND</v>
      </c>
      <c r="D110" s="23" t="str">
        <f>IF(Eksplikatsioon!D111=0,"",Eksplikatsioon!D111)</f>
        <v>Kabinet/Büroo</v>
      </c>
      <c r="E110" s="58">
        <f>IF(Eksplikatsioon!F111=0,"",Eksplikatsioon!F111)</f>
        <v>21.8</v>
      </c>
      <c r="F110" s="23" t="str">
        <f>IF(Eksplikatsioon!H111=0,"",Eksplikatsioon!H111)</f>
        <v/>
      </c>
      <c r="G110" s="23" t="str">
        <f>IF(Eksplikatsioon!J111=0,"",Eksplikatsioon!J111)</f>
        <v>Ainukasutuses pind</v>
      </c>
      <c r="H110" s="23" t="str">
        <f>IF(Eksplikatsioon!K111=0,"",Eksplikatsioon!K111)</f>
        <v>Aktiivne vakantsus</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25">
      <c r="A111" s="23" t="str">
        <f>IF(Eksplikatsioon!A112=0,"",Eksplikatsioon!A112)</f>
        <v>03</v>
      </c>
      <c r="B111" s="60" t="str">
        <f>IF(Eksplikatsioon!B112=0,"",Eksplikatsioon!B112)</f>
        <v>320</v>
      </c>
      <c r="C111" s="23" t="str">
        <f>IF(Eksplikatsioon!C112=0,"",Eksplikatsioon!C112)</f>
        <v>ÜÜRITAV PIND</v>
      </c>
      <c r="D111" s="23" t="str">
        <f>IF(Eksplikatsioon!D112=0,"",Eksplikatsioon!D112)</f>
        <v>Kabinet/Büroo</v>
      </c>
      <c r="E111" s="58">
        <f>IF(Eksplikatsioon!F112=0,"",Eksplikatsioon!F112)</f>
        <v>19.5</v>
      </c>
      <c r="F111" s="23" t="str">
        <f>IF(Eksplikatsioon!H112=0,"",Eksplikatsioon!H112)</f>
        <v/>
      </c>
      <c r="G111" s="23" t="str">
        <f>IF(Eksplikatsioon!J112=0,"",Eksplikatsioon!J112)</f>
        <v>Ainukasutuses pind</v>
      </c>
      <c r="H111" s="23" t="str">
        <f>IF(Eksplikatsioon!K112=0,"",Eksplikatsioon!K112)</f>
        <v>Aktiivne vakantsus</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25">
      <c r="A112" s="23" t="str">
        <f>IF(Eksplikatsioon!A113=0,"",Eksplikatsioon!A113)</f>
        <v>03</v>
      </c>
      <c r="B112" s="60" t="str">
        <f>IF(Eksplikatsioon!B113=0,"",Eksplikatsioon!B113)</f>
        <v>321</v>
      </c>
      <c r="C112" s="23" t="str">
        <f>IF(Eksplikatsioon!C113=0,"",Eksplikatsioon!C113)</f>
        <v>ÜÜRITAV PIND</v>
      </c>
      <c r="D112" s="23" t="str">
        <f>IF(Eksplikatsioon!D113=0,"",Eksplikatsioon!D113)</f>
        <v>Kabinet/Büroo</v>
      </c>
      <c r="E112" s="58">
        <f>IF(Eksplikatsioon!F113=0,"",Eksplikatsioon!F113)</f>
        <v>8</v>
      </c>
      <c r="F112" s="23" t="str">
        <f>IF(Eksplikatsioon!H113=0,"",Eksplikatsioon!H113)</f>
        <v/>
      </c>
      <c r="G112" s="23" t="str">
        <f>IF(Eksplikatsioon!J113=0,"",Eksplikatsioon!J113)</f>
        <v>Ainukasutuses pind</v>
      </c>
      <c r="H112" s="23" t="str">
        <f>IF(Eksplikatsioon!K113=0,"",Eksplikatsioon!K113)</f>
        <v>Aktiivne vakantsus</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25">
      <c r="A113" s="23" t="str">
        <f>IF(Eksplikatsioon!A114=0,"",Eksplikatsioon!A114)</f>
        <v>03</v>
      </c>
      <c r="B113" s="60" t="str">
        <f>IF(Eksplikatsioon!B114=0,"",Eksplikatsioon!B114)</f>
        <v>322</v>
      </c>
      <c r="C113" s="23" t="str">
        <f>IF(Eksplikatsioon!C114=0,"",Eksplikatsioon!C114)</f>
        <v>ÜÜRITAV PIND</v>
      </c>
      <c r="D113" s="23" t="str">
        <f>IF(Eksplikatsioon!D114=0,"",Eksplikatsioon!D114)</f>
        <v>Kabinet/Büroo</v>
      </c>
      <c r="E113" s="58">
        <f>IF(Eksplikatsioon!F114=0,"",Eksplikatsioon!F114)</f>
        <v>13.1</v>
      </c>
      <c r="F113" s="23" t="str">
        <f>IF(Eksplikatsioon!H114=0,"",Eksplikatsioon!H114)</f>
        <v/>
      </c>
      <c r="G113" s="23" t="str">
        <f>IF(Eksplikatsioon!J114=0,"",Eksplikatsioon!J114)</f>
        <v>Ainukasutuses pind</v>
      </c>
      <c r="H113" s="23" t="str">
        <f>IF(Eksplikatsioon!K114=0,"",Eksplikatsioon!K114)</f>
        <v>Aktiivne vakantsus</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25">
      <c r="A114" s="23" t="str">
        <f>IF(Eksplikatsioon!A115=0,"",Eksplikatsioon!A115)</f>
        <v>03</v>
      </c>
      <c r="B114" s="60" t="str">
        <f>IF(Eksplikatsioon!B115=0,"",Eksplikatsioon!B115)</f>
        <v>323</v>
      </c>
      <c r="C114" s="23" t="str">
        <f>IF(Eksplikatsioon!C115=0,"",Eksplikatsioon!C115)</f>
        <v>ÜÜRITAV PIND</v>
      </c>
      <c r="D114" s="23" t="str">
        <f>IF(Eksplikatsioon!D115=0,"",Eksplikatsioon!D115)</f>
        <v>Kabinet/Büroo</v>
      </c>
      <c r="E114" s="58">
        <f>IF(Eksplikatsioon!F115=0,"",Eksplikatsioon!F115)</f>
        <v>21.5</v>
      </c>
      <c r="F114" s="23" t="str">
        <f>IF(Eksplikatsioon!H115=0,"",Eksplikatsioon!H115)</f>
        <v/>
      </c>
      <c r="G114" s="23" t="str">
        <f>IF(Eksplikatsioon!J115=0,"",Eksplikatsioon!J115)</f>
        <v>Ainukasutuses pind</v>
      </c>
      <c r="H114" s="23" t="str">
        <f>IF(Eksplikatsioon!K115=0,"",Eksplikatsioon!K115)</f>
        <v>MTÜ Kagu Ühistranspordikeskus</v>
      </c>
      <c r="I114" s="23" t="str">
        <f>IF(Eksplikatsioon!L115=0,"",Eksplikatsioon!L115)</f>
        <v>KESK20POLVA_13</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25">
      <c r="A115" s="23" t="str">
        <f>IF(Eksplikatsioon!A116=0,"",Eksplikatsioon!A116)</f>
        <v>03</v>
      </c>
      <c r="B115" s="60" t="str">
        <f>IF(Eksplikatsioon!B116=0,"",Eksplikatsioon!B116)</f>
        <v>324</v>
      </c>
      <c r="C115" s="23" t="str">
        <f>IF(Eksplikatsioon!C116=0,"",Eksplikatsioon!C116)</f>
        <v>ÜÜRITAV PIND</v>
      </c>
      <c r="D115" s="23" t="str">
        <f>IF(Eksplikatsioon!D116=0,"",Eksplikatsioon!D116)</f>
        <v>Kabinet/Büroo</v>
      </c>
      <c r="E115" s="58">
        <f>IF(Eksplikatsioon!F116=0,"",Eksplikatsioon!F116)</f>
        <v>20.8</v>
      </c>
      <c r="F115" s="23" t="str">
        <f>IF(Eksplikatsioon!H116=0,"",Eksplikatsioon!H116)</f>
        <v/>
      </c>
      <c r="G115" s="23" t="str">
        <f>IF(Eksplikatsioon!J116=0,"",Eksplikatsioon!J116)</f>
        <v>Ainukasutuses pind</v>
      </c>
      <c r="H115" s="23" t="str">
        <f>IF(Eksplikatsioon!K116=0,"",Eksplikatsioon!K116)</f>
        <v>Aktiivne vakantsus</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25">
      <c r="A116" s="23" t="str">
        <f>IF(Eksplikatsioon!A117=0,"",Eksplikatsioon!A117)</f>
        <v>04</v>
      </c>
      <c r="B116" s="60" t="str">
        <f>IF(Eksplikatsioon!B117=0,"",Eksplikatsioon!B117)</f>
        <v>401</v>
      </c>
      <c r="C116" s="23" t="str">
        <f>IF(Eksplikatsioon!C117=0,"",Eksplikatsioon!C117)</f>
        <v>VERTIKAALSETE ÜHENDUSTEEDE PIND</v>
      </c>
      <c r="D116" s="23" t="str">
        <f>IF(Eksplikatsioon!D117=0,"",Eksplikatsioon!D117)</f>
        <v>Trepp/Trepikoda</v>
      </c>
      <c r="E116" s="58">
        <f>IF(Eksplikatsioon!F117=0,"",Eksplikatsioon!F117)</f>
        <v>11.7</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25">
      <c r="A117" s="23" t="str">
        <f>IF(Eksplikatsioon!A118=0,"",Eksplikatsioon!A118)</f>
        <v>04</v>
      </c>
      <c r="B117" s="60" t="str">
        <f>IF(Eksplikatsioon!B118=0,"",Eksplikatsioon!B118)</f>
        <v>402</v>
      </c>
      <c r="C117" s="23" t="str">
        <f>IF(Eksplikatsioon!C118=0,"",Eksplikatsioon!C118)</f>
        <v>ÜÜRITAV PIND</v>
      </c>
      <c r="D117" s="23" t="str">
        <f>IF(Eksplikatsioon!D118=0,"",Eksplikatsioon!D118)</f>
        <v>Koridor</v>
      </c>
      <c r="E117" s="58">
        <f>IF(Eksplikatsioon!F118=0,"",Eksplikatsioon!F118)</f>
        <v>46.6</v>
      </c>
      <c r="F117" s="23" t="str">
        <f>IF(Eksplikatsioon!H118=0,"",Eksplikatsioon!H118)</f>
        <v/>
      </c>
      <c r="G117" s="23" t="str">
        <f>IF(Eksplikatsioon!J118=0,"",Eksplikatsioon!J118)</f>
        <v>Ühiskasutuses korruse pind</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25">
      <c r="A118" s="23" t="str">
        <f>IF(Eksplikatsioon!A119=0,"",Eksplikatsioon!A119)</f>
        <v>04</v>
      </c>
      <c r="B118" s="60" t="str">
        <f>IF(Eksplikatsioon!B119=0,"",Eksplikatsioon!B119)</f>
        <v>403</v>
      </c>
      <c r="C118" s="23" t="str">
        <f>IF(Eksplikatsioon!C119=0,"",Eksplikatsioon!C119)</f>
        <v>ÜÜRITAV PIND</v>
      </c>
      <c r="D118" s="23" t="str">
        <f>IF(Eksplikatsioon!D119=0,"",Eksplikatsioon!D119)</f>
        <v>Arhiiv</v>
      </c>
      <c r="E118" s="58">
        <f>IF(Eksplikatsioon!F119=0,"",Eksplikatsioon!F119)</f>
        <v>7.4</v>
      </c>
      <c r="F118" s="23" t="str">
        <f>IF(Eksplikatsioon!H119=0,"",Eksplikatsioon!H119)</f>
        <v/>
      </c>
      <c r="G118" s="23" t="str">
        <f>IF(Eksplikatsioon!J119=0,"",Eksplikatsioon!J119)</f>
        <v>Ainukasutuses pind</v>
      </c>
      <c r="H118" s="23" t="str">
        <f>IF(Eksplikatsioon!K119=0,"",Eksplikatsioon!K119)</f>
        <v>Aktiivne vakantsus</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25">
      <c r="A119" s="23" t="str">
        <f>IF(Eksplikatsioon!A120=0,"",Eksplikatsioon!A120)</f>
        <v>04</v>
      </c>
      <c r="B119" s="60" t="str">
        <f>IF(Eksplikatsioon!B120=0,"",Eksplikatsioon!B120)</f>
        <v>404</v>
      </c>
      <c r="C119" s="23" t="str">
        <f>IF(Eksplikatsioon!C120=0,"",Eksplikatsioon!C120)</f>
        <v>ÜÜRITAV PIND</v>
      </c>
      <c r="D119" s="23" t="str">
        <f>IF(Eksplikatsioon!D120=0,"",Eksplikatsioon!D120)</f>
        <v>Kabinet/Büroo</v>
      </c>
      <c r="E119" s="58">
        <f>IF(Eksplikatsioon!F120=0,"",Eksplikatsioon!F120)</f>
        <v>17.399999999999999</v>
      </c>
      <c r="F119" s="23" t="str">
        <f>IF(Eksplikatsioon!H120=0,"",Eksplikatsioon!H120)</f>
        <v/>
      </c>
      <c r="G119" s="23" t="str">
        <f>IF(Eksplikatsioon!J120=0,"",Eksplikatsioon!J120)</f>
        <v>Ainukasutuses pind</v>
      </c>
      <c r="H119" s="23" t="str">
        <f>IF(Eksplikatsioon!K120=0,"",Eksplikatsioon!K120)</f>
        <v>Tallinna Vangla</v>
      </c>
      <c r="I119" s="23" t="str">
        <f>IF(Eksplikatsioon!L120=0,"",Eksplikatsioon!L120)</f>
        <v>KESK20POLVA_16</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25">
      <c r="A120" s="23" t="str">
        <f>IF(Eksplikatsioon!A121=0,"",Eksplikatsioon!A121)</f>
        <v>04</v>
      </c>
      <c r="B120" s="60" t="str">
        <f>IF(Eksplikatsioon!B121=0,"",Eksplikatsioon!B121)</f>
        <v>405</v>
      </c>
      <c r="C120" s="23" t="str">
        <f>IF(Eksplikatsioon!C121=0,"",Eksplikatsioon!C121)</f>
        <v>ÜÜRITAV PIND</v>
      </c>
      <c r="D120" s="23" t="str">
        <f>IF(Eksplikatsioon!D121=0,"",Eksplikatsioon!D121)</f>
        <v>Kabinet/Büroo</v>
      </c>
      <c r="E120" s="58">
        <f>IF(Eksplikatsioon!F121=0,"",Eksplikatsioon!F121)</f>
        <v>15.6</v>
      </c>
      <c r="F120" s="23" t="str">
        <f>IF(Eksplikatsioon!H121=0,"",Eksplikatsioon!H121)</f>
        <v/>
      </c>
      <c r="G120" s="23" t="str">
        <f>IF(Eksplikatsioon!J121=0,"",Eksplikatsioon!J121)</f>
        <v>Ainukasutuses pind</v>
      </c>
      <c r="H120" s="23" t="str">
        <f>IF(Eksplikatsioon!K121=0,"",Eksplikatsioon!K121)</f>
        <v>Tallinna Vangla</v>
      </c>
      <c r="I120" s="23" t="str">
        <f>IF(Eksplikatsioon!L121=0,"",Eksplikatsioon!L121)</f>
        <v>KESK20POLVA_16</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25">
      <c r="A121" s="23" t="str">
        <f>IF(Eksplikatsioon!A122=0,"",Eksplikatsioon!A122)</f>
        <v>04</v>
      </c>
      <c r="B121" s="60" t="str">
        <f>IF(Eksplikatsioon!B122=0,"",Eksplikatsioon!B122)</f>
        <v>406</v>
      </c>
      <c r="C121" s="23" t="str">
        <f>IF(Eksplikatsioon!C122=0,"",Eksplikatsioon!C122)</f>
        <v>ÜÜRITAV PIND</v>
      </c>
      <c r="D121" s="23" t="str">
        <f>IF(Eksplikatsioon!D122=0,"",Eksplikatsioon!D122)</f>
        <v>WC</v>
      </c>
      <c r="E121" s="58">
        <f>IF(Eksplikatsioon!F122=0,"",Eksplikatsioon!F122)</f>
        <v>3.8</v>
      </c>
      <c r="F121" s="23" t="str">
        <f>IF(Eksplikatsioon!H122=0,"",Eksplikatsioon!H122)</f>
        <v/>
      </c>
      <c r="G121" s="23" t="str">
        <f>IF(Eksplikatsioon!J122=0,"",Eksplikatsioon!J122)</f>
        <v>Ühiskasutuses korruse pind</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25">
      <c r="A122" s="23" t="str">
        <f>IF(Eksplikatsioon!A123=0,"",Eksplikatsioon!A123)</f>
        <v>04</v>
      </c>
      <c r="B122" s="60" t="str">
        <f>IF(Eksplikatsioon!B123=0,"",Eksplikatsioon!B123)</f>
        <v>407</v>
      </c>
      <c r="C122" s="23" t="str">
        <f>IF(Eksplikatsioon!C123=0,"",Eksplikatsioon!C123)</f>
        <v>ÜÜRITAV PIND</v>
      </c>
      <c r="D122" s="23" t="str">
        <f>IF(Eksplikatsioon!D123=0,"",Eksplikatsioon!D123)</f>
        <v>Kabinet/Büroo</v>
      </c>
      <c r="E122" s="58">
        <f>IF(Eksplikatsioon!F123=0,"",Eksplikatsioon!F123)</f>
        <v>38.200000000000003</v>
      </c>
      <c r="F122" s="23" t="str">
        <f>IF(Eksplikatsioon!H123=0,"",Eksplikatsioon!H123)</f>
        <v/>
      </c>
      <c r="G122" s="23" t="str">
        <f>IF(Eksplikatsioon!J123=0,"",Eksplikatsioon!J123)</f>
        <v>Ainukasutuses pind</v>
      </c>
      <c r="H122" s="23" t="str">
        <f>IF(Eksplikatsioon!K123=0,"",Eksplikatsioon!K123)</f>
        <v>Tallinna Vangla</v>
      </c>
      <c r="I122" s="23" t="str">
        <f>IF(Eksplikatsioon!L123=0,"",Eksplikatsioon!L123)</f>
        <v>KESK20POLVA_16</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25">
      <c r="A123" s="23" t="str">
        <f>IF(Eksplikatsioon!A124=0,"",Eksplikatsioon!A124)</f>
        <v>04</v>
      </c>
      <c r="B123" s="60" t="str">
        <f>IF(Eksplikatsioon!B124=0,"",Eksplikatsioon!B124)</f>
        <v>408</v>
      </c>
      <c r="C123" s="23" t="str">
        <f>IF(Eksplikatsioon!C124=0,"",Eksplikatsioon!C124)</f>
        <v>TEHNOPIND</v>
      </c>
      <c r="D123" s="23" t="str">
        <f>IF(Eksplikatsioon!D124=0,"",Eksplikatsioon!D124)</f>
        <v>Vent ruum</v>
      </c>
      <c r="E123" s="58">
        <f>IF(Eksplikatsioon!F124=0,"",Eksplikatsioon!F124)</f>
        <v>102.8</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25">
      <c r="A124" s="23" t="str">
        <f>IF(Eksplikatsioon!A125=0,"",Eksplikatsioon!A125)</f>
        <v>04</v>
      </c>
      <c r="B124" s="60" t="str">
        <f>IF(Eksplikatsioon!B125=0,"",Eksplikatsioon!B125)</f>
        <v>409</v>
      </c>
      <c r="C124" s="23" t="str">
        <f>IF(Eksplikatsioon!C125=0,"",Eksplikatsioon!C125)</f>
        <v>VERTIKAALSETE ÜHENDUSTEEDE PIND</v>
      </c>
      <c r="D124" s="23" t="str">
        <f>IF(Eksplikatsioon!D125=0,"",Eksplikatsioon!D125)</f>
        <v>Trepp/Trepikoda</v>
      </c>
      <c r="E124" s="58">
        <f>IF(Eksplikatsioon!F125=0,"",Eksplikatsioon!F125)</f>
        <v>11.9</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25">
      <c r="A125" s="23" t="str">
        <f>IF(Eksplikatsioon!A126=0,"",Eksplikatsioon!A126)</f>
        <v>04</v>
      </c>
      <c r="B125" s="60" t="str">
        <f>IF(Eksplikatsioon!B126=0,"",Eksplikatsioon!B126)</f>
        <v>410</v>
      </c>
      <c r="C125" s="23" t="str">
        <f>IF(Eksplikatsioon!C126=0,"",Eksplikatsioon!C126)</f>
        <v>ÜÜRITAV PIND</v>
      </c>
      <c r="D125" s="23" t="str">
        <f>IF(Eksplikatsioon!D126=0,"",Eksplikatsioon!D126)</f>
        <v>Abiruum</v>
      </c>
      <c r="E125" s="58">
        <f>IF(Eksplikatsioon!F126=0,"",Eksplikatsioon!F126)</f>
        <v>9.4</v>
      </c>
      <c r="F125" s="23" t="str">
        <f>IF(Eksplikatsioon!H126=0,"",Eksplikatsioon!H126)</f>
        <v/>
      </c>
      <c r="G125" s="23" t="str">
        <f>IF(Eksplikatsioon!J126=0,"",Eksplikatsioon!J126)</f>
        <v>Ainukasutuses pind</v>
      </c>
      <c r="H125" s="23" t="str">
        <f>IF(Eksplikatsioon!K126=0,"",Eksplikatsioon!K126)</f>
        <v>Aktiivne vakantsus</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25">
      <c r="A126" s="23" t="str">
        <f>IF(Eksplikatsioon!A127=0,"",Eksplikatsioon!A127)</f>
        <v>04</v>
      </c>
      <c r="B126" s="60" t="str">
        <f>IF(Eksplikatsioon!B127=0,"",Eksplikatsioon!B127)</f>
        <v>411</v>
      </c>
      <c r="C126" s="23" t="str">
        <f>IF(Eksplikatsioon!C127=0,"",Eksplikatsioon!C127)</f>
        <v>ÜÜRITAV PIND</v>
      </c>
      <c r="D126" s="23" t="str">
        <f>IF(Eksplikatsioon!D127=0,"",Eksplikatsioon!D127)</f>
        <v>Kabinet/Büroo</v>
      </c>
      <c r="E126" s="58">
        <f>IF(Eksplikatsioon!F127=0,"",Eksplikatsioon!F127)</f>
        <v>39.799999999999997</v>
      </c>
      <c r="F126" s="23" t="str">
        <f>IF(Eksplikatsioon!H127=0,"",Eksplikatsioon!H127)</f>
        <v/>
      </c>
      <c r="G126" s="23" t="str">
        <f>IF(Eksplikatsioon!J127=0,"",Eksplikatsioon!J127)</f>
        <v>Ainukasutuses pind</v>
      </c>
      <c r="H126" s="23" t="str">
        <f>IF(Eksplikatsioon!K127=0,"",Eksplikatsioon!K127)</f>
        <v>Tallinna Vangla</v>
      </c>
      <c r="I126" s="23" t="str">
        <f>IF(Eksplikatsioon!L127=0,"",Eksplikatsioon!L127)</f>
        <v>KESK20POLVA_16</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25">
      <c r="A127" s="23" t="str">
        <f>IF(Eksplikatsioon!A128=0,"",Eksplikatsioon!A128)</f>
        <v>04</v>
      </c>
      <c r="B127" s="60" t="str">
        <f>IF(Eksplikatsioon!B128=0,"",Eksplikatsioon!B128)</f>
        <v>412</v>
      </c>
      <c r="C127" s="23" t="str">
        <f>IF(Eksplikatsioon!C128=0,"",Eksplikatsioon!C128)</f>
        <v>ÜÜRITAV PIND</v>
      </c>
      <c r="D127" s="23" t="str">
        <f>IF(Eksplikatsioon!D128=0,"",Eksplikatsioon!D128)</f>
        <v>Abiruum</v>
      </c>
      <c r="E127" s="58">
        <f>IF(Eksplikatsioon!F128=0,"",Eksplikatsioon!F128)</f>
        <v>4.8</v>
      </c>
      <c r="F127" s="23" t="str">
        <f>IF(Eksplikatsioon!H128=0,"",Eksplikatsioon!H128)</f>
        <v/>
      </c>
      <c r="G127" s="23" t="str">
        <f>IF(Eksplikatsioon!J128=0,"",Eksplikatsioon!J128)</f>
        <v>Ainukasutuses pind</v>
      </c>
      <c r="H127" s="23" t="str">
        <f>IF(Eksplikatsioon!K128=0,"",Eksplikatsioon!K128)</f>
        <v>Aktiivne vakantsus</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25">
      <c r="A128" s="23" t="str">
        <f>IF(Eksplikatsioon!A129=0,"",Eksplikatsioon!A129)</f>
        <v>04</v>
      </c>
      <c r="B128" s="60" t="str">
        <f>IF(Eksplikatsioon!B129=0,"",Eksplikatsioon!B129)</f>
        <v>413</v>
      </c>
      <c r="C128" s="23" t="str">
        <f>IF(Eksplikatsioon!C129=0,"",Eksplikatsioon!C129)</f>
        <v>ÜÜRITAV PIND</v>
      </c>
      <c r="D128" s="23" t="str">
        <f>IF(Eksplikatsioon!D129=0,"",Eksplikatsioon!D129)</f>
        <v>Kabinet/Büroo</v>
      </c>
      <c r="E128" s="58">
        <f>IF(Eksplikatsioon!F129=0,"",Eksplikatsioon!F129)</f>
        <v>17.3</v>
      </c>
      <c r="F128" s="23" t="str">
        <f>IF(Eksplikatsioon!H129=0,"",Eksplikatsioon!H129)</f>
        <v/>
      </c>
      <c r="G128" s="23" t="str">
        <f>IF(Eksplikatsioon!J129=0,"",Eksplikatsioon!J129)</f>
        <v>Ainukasutuses pind</v>
      </c>
      <c r="H128" s="23" t="str">
        <f>IF(Eksplikatsioon!K129=0,"",Eksplikatsioon!K129)</f>
        <v>Tallinna Vangla</v>
      </c>
      <c r="I128" s="23" t="str">
        <f>IF(Eksplikatsioon!L129=0,"",Eksplikatsioon!L129)</f>
        <v>KESK20POLVA_16</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25">
      <c r="A129" s="23" t="str">
        <f>IF(Eksplikatsioon!A130=0,"",Eksplikatsioon!A130)</f>
        <v>04</v>
      </c>
      <c r="B129" s="60" t="str">
        <f>IF(Eksplikatsioon!B130=0,"",Eksplikatsioon!B130)</f>
        <v>414</v>
      </c>
      <c r="C129" s="23" t="str">
        <f>IF(Eksplikatsioon!C130=0,"",Eksplikatsioon!C130)</f>
        <v>ÜÜRITAV PIND</v>
      </c>
      <c r="D129" s="23" t="str">
        <f>IF(Eksplikatsioon!D130=0,"",Eksplikatsioon!D130)</f>
        <v>Kabinet/Büroo</v>
      </c>
      <c r="E129" s="58">
        <f>IF(Eksplikatsioon!F130=0,"",Eksplikatsioon!F130)</f>
        <v>17.600000000000001</v>
      </c>
      <c r="F129" s="23" t="str">
        <f>IF(Eksplikatsioon!H130=0,"",Eksplikatsioon!H130)</f>
        <v/>
      </c>
      <c r="G129" s="23" t="str">
        <f>IF(Eksplikatsioon!J130=0,"",Eksplikatsioon!J130)</f>
        <v>Ainukasutuses pind</v>
      </c>
      <c r="H129" s="23" t="str">
        <f>IF(Eksplikatsioon!K130=0,"",Eksplikatsioon!K130)</f>
        <v>Tallinna Vangla</v>
      </c>
      <c r="I129" s="23" t="str">
        <f>IF(Eksplikatsioon!L130=0,"",Eksplikatsioon!L130)</f>
        <v>KESK20POLVA_16</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25">
      <c r="A130" s="23" t="str">
        <f>IF(Eksplikatsioon!A131=0,"",Eksplikatsioon!A131)</f>
        <v>04</v>
      </c>
      <c r="B130" s="60" t="str">
        <f>IF(Eksplikatsioon!B131=0,"",Eksplikatsioon!B131)</f>
        <v>415</v>
      </c>
      <c r="C130" s="23" t="str">
        <f>IF(Eksplikatsioon!C131=0,"",Eksplikatsioon!C131)</f>
        <v>ÜÜRITAV PIND</v>
      </c>
      <c r="D130" s="23" t="str">
        <f>IF(Eksplikatsioon!D131=0,"",Eksplikatsioon!D131)</f>
        <v>Kabinet/Büroo</v>
      </c>
      <c r="E130" s="58">
        <f>IF(Eksplikatsioon!F131=0,"",Eksplikatsioon!F131)</f>
        <v>17.7</v>
      </c>
      <c r="F130" s="23" t="str">
        <f>IF(Eksplikatsioon!H131=0,"",Eksplikatsioon!H131)</f>
        <v/>
      </c>
      <c r="G130" s="23" t="str">
        <f>IF(Eksplikatsioon!J131=0,"",Eksplikatsioon!J131)</f>
        <v>Ainukasutuses pind</v>
      </c>
      <c r="H130" s="23" t="str">
        <f>IF(Eksplikatsioon!K131=0,"",Eksplikatsioon!K131)</f>
        <v>Muinsuskaitseamet</v>
      </c>
      <c r="I130" s="23" t="str">
        <f>IF(Eksplikatsioon!L131=0,"",Eksplikatsioon!L131)</f>
        <v>KESK20POLVA_17</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25">
      <c r="A131" s="23" t="str">
        <f>IF(Eksplikatsioon!A132=0,"",Eksplikatsioon!A132)</f>
        <v>04</v>
      </c>
      <c r="B131" s="60" t="str">
        <f>IF(Eksplikatsioon!B132=0,"",Eksplikatsioon!B132)</f>
        <v>416</v>
      </c>
      <c r="C131" s="23" t="str">
        <f>IF(Eksplikatsioon!C132=0,"",Eksplikatsioon!C132)</f>
        <v>ÜÜRITAV PIND</v>
      </c>
      <c r="D131" s="23" t="str">
        <f>IF(Eksplikatsioon!D132=0,"",Eksplikatsioon!D132)</f>
        <v>Puhkeruum</v>
      </c>
      <c r="E131" s="58">
        <f>IF(Eksplikatsioon!F132=0,"",Eksplikatsioon!F132)</f>
        <v>15.9</v>
      </c>
      <c r="F131" s="23" t="str">
        <f>IF(Eksplikatsioon!H132=0,"",Eksplikatsioon!H132)</f>
        <v/>
      </c>
      <c r="G131" s="23" t="str">
        <f>IF(Eksplikatsioon!J132=0,"",Eksplikatsioon!J132)</f>
        <v>Ainukasutuses pind</v>
      </c>
      <c r="H131" s="23" t="str">
        <f>IF(Eksplikatsioon!K132=0,"",Eksplikatsioon!K132)</f>
        <v>Eesti Rahvakultuuri Keskus</v>
      </c>
      <c r="I131" s="23" t="str">
        <f>IF(Eksplikatsioon!L132=0,"",Eksplikatsioon!L132)</f>
        <v>KESK20POLVA_18</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25">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25">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25">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25">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25">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25">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25">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25">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25">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25">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25">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25">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25">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25">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25">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25">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25">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25">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25">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25">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25">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25">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25">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25">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25">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25">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25">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25">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25">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25">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25">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25">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25">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25">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25">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25">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25">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25">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25">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25">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25">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25">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25">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25">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25">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25">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25">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25">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25">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25">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25">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25">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25">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25">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25">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25">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25">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25">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25">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25">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25">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25">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25">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25">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25">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25">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25">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25">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25">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25">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25">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25">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25">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25">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25">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25">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25">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25">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25">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25">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25">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25">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25">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25">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25">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25">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25">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25">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25">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25">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25">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25">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25">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25">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25">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25">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25">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25">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25">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25">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25">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25">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25">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25">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25">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25">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25">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25">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25">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25">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2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2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2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2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2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2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2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2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2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2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2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2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2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2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2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2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2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2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2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2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2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2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2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2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2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2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2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2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2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2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2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2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2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2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2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2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2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2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2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2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2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2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2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2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2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2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2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2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2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2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2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2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2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2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2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2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2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2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2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2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2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2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2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2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2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2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2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2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2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2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2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2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2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2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2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2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2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2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2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2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2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2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2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2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2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2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2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2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2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2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2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2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2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2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2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2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2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2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2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2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2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2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2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2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2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2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2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2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2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2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2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2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2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2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2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2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2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2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2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2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2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2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2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2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2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2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2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2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2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2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2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2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2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2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2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2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2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2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2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2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2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2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2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2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2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2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2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2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2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2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2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2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2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2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2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2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2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2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2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2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2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2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2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2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2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2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2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2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2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2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2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2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2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2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2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2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2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2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2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2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2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2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2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2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2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2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2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2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2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2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2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2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2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2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2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2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2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2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2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2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2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2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2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2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2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2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2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2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2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2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2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2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2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2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2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2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2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2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2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2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2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2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2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2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2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2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2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2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2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2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2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2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2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2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2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2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2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2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2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2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2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2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2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2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2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2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2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2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2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2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2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2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2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2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2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2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2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2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2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2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2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2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2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2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2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2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2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2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2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2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2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2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2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2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2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2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2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2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2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2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2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2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2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2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2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2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2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2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2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2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2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2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2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2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2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2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2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2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2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2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2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2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2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2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2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2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2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2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2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2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2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2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2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2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2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2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2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2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2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2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2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2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2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2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2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2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2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2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2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2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2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2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2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2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2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2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2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2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2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2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2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2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2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2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2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2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2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2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2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2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2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2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2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2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2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2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2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2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2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2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2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2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2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2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2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2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2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2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2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2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2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2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2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2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2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2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2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2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2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2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2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2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2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2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2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2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2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2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2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2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2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2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2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2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2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2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2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2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2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2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2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2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2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2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2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2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2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2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2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2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2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2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2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2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2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2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2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2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2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2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2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2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2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2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2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2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2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2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2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2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2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2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2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2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2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2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2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2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2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2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2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2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2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2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2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2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2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2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2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2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2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2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2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2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2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2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2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2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2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2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2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2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2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2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2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2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2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2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2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2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2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2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2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2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2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2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2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2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2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2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2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2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2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2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2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2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2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2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2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2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2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2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2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2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2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2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2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2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2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2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2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2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2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2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2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2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2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2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2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2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2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2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2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2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2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2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2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2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2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2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2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2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2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2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2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2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2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2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2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2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2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2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2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2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2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2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2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2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2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2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2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2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2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2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2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2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2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2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2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2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2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2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2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2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2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2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2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2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2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2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2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2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2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2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2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2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2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2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2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2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2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2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2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2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2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2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2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2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2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2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2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2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2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2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2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2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2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2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2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2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2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2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2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2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2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2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2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2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2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2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2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2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2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2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2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2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2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2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2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2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2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2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2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2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2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2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2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2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2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2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2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2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2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2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2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2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2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2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2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2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2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2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2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2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2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2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2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2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2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2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2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2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2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2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2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2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2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2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2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2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2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2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2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2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2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2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2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2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2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2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2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2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2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2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2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2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2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2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2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2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2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2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2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2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2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2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2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2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2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2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2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2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2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2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2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2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2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2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2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2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2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2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2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2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2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2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2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2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2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2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2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2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2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2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2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2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2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2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2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2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2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2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2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2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2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2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2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2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2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2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2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2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2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2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2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2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2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2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2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2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2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2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2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2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2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2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2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2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2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2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2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2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2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2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2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2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2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2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2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2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2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2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2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2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2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2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2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2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2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2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2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eJDX5rbInYSjS8nhEUWpDRz4l2nqhHf/Qh8GeCXd0cHBEXgRSi+wqex9TGFsHdmaNHEmB62YILS+2pdryBy0yw==" saltValue="mRUzmY54i2ux9JwvNAX2Ig=="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topLeftCell="A19"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A24" sqref="A24"/>
    </sheetView>
  </sheetViews>
  <sheetFormatPr defaultColWidth="9.140625" defaultRowHeight="15" x14ac:dyDescent="0.25"/>
  <cols>
    <col min="1" max="1" width="37" style="11" bestFit="1" customWidth="1"/>
    <col min="2" max="2" width="56.42578125" style="12" customWidth="1"/>
    <col min="3" max="16384" width="9.140625" style="9"/>
  </cols>
  <sheetData>
    <row r="1" spans="1:3" x14ac:dyDescent="0.25">
      <c r="A1" s="8" t="s">
        <v>26</v>
      </c>
      <c r="B1" s="49" t="s">
        <v>27</v>
      </c>
    </row>
    <row r="2" spans="1:3" x14ac:dyDescent="0.25">
      <c r="A2" s="8" t="s">
        <v>28</v>
      </c>
      <c r="B2" s="49" t="s">
        <v>29</v>
      </c>
    </row>
    <row r="3" spans="1:3" x14ac:dyDescent="0.25">
      <c r="A3" s="8" t="s">
        <v>30</v>
      </c>
      <c r="B3" s="49" t="s">
        <v>31</v>
      </c>
    </row>
    <row r="4" spans="1:3" x14ac:dyDescent="0.25">
      <c r="A4" s="8" t="s">
        <v>32</v>
      </c>
      <c r="B4" s="65" t="s">
        <v>33</v>
      </c>
    </row>
    <row r="5" spans="1:3" x14ac:dyDescent="0.25">
      <c r="A5" s="8" t="s">
        <v>34</v>
      </c>
      <c r="B5" s="49" t="s">
        <v>35</v>
      </c>
    </row>
    <row r="6" spans="1:3" x14ac:dyDescent="0.25">
      <c r="A6" s="8" t="s">
        <v>36</v>
      </c>
      <c r="B6" s="49" t="s">
        <v>37</v>
      </c>
    </row>
    <row r="7" spans="1:3" x14ac:dyDescent="0.25">
      <c r="A7" s="8" t="s">
        <v>38</v>
      </c>
      <c r="B7" s="50">
        <v>42361</v>
      </c>
      <c r="C7" s="26"/>
    </row>
    <row r="11" spans="1:3" x14ac:dyDescent="0.25">
      <c r="A11" s="10" t="s">
        <v>39</v>
      </c>
      <c r="B11" s="10" t="s">
        <v>40</v>
      </c>
      <c r="C11" s="11"/>
    </row>
    <row r="12" spans="1:3" ht="18" x14ac:dyDescent="0.25">
      <c r="A12" s="11" t="s">
        <v>41</v>
      </c>
      <c r="B12" s="51">
        <f>Eksplikatsioon_summad!B4</f>
        <v>557.6</v>
      </c>
      <c r="C12" s="11"/>
    </row>
    <row r="13" spans="1:3" ht="18" x14ac:dyDescent="0.25">
      <c r="A13" s="11" t="s">
        <v>42</v>
      </c>
      <c r="B13" s="51">
        <f>Eksplikatsioon_summad!B5</f>
        <v>2078.8000000000002</v>
      </c>
      <c r="C13" s="11"/>
    </row>
    <row r="14" spans="1:3" ht="18" x14ac:dyDescent="0.25">
      <c r="A14" s="11" t="s">
        <v>43</v>
      </c>
      <c r="B14" s="51">
        <f>Eksplikatsioon_summad!B6</f>
        <v>0</v>
      </c>
      <c r="C14" s="11"/>
    </row>
    <row r="15" spans="1:3" ht="18" x14ac:dyDescent="0.25">
      <c r="A15" s="11" t="s">
        <v>44</v>
      </c>
      <c r="B15" s="51">
        <f>Eksplikatsioon_summad!B7</f>
        <v>1732.1</v>
      </c>
      <c r="C15" s="11"/>
    </row>
    <row r="16" spans="1:3" ht="18" x14ac:dyDescent="0.25">
      <c r="A16" s="11" t="s">
        <v>45</v>
      </c>
      <c r="B16" s="54">
        <f>Eksplikatsioon_summad!B8</f>
        <v>2341.3000000000002</v>
      </c>
    </row>
    <row r="17" spans="1:2" ht="18" x14ac:dyDescent="0.25">
      <c r="A17" s="11" t="s">
        <v>46</v>
      </c>
      <c r="B17" s="54">
        <f>Eksplikatsioon_summad!B9</f>
        <v>2722.5</v>
      </c>
    </row>
    <row r="18" spans="1:2" ht="18" x14ac:dyDescent="0.25">
      <c r="A18" s="48" t="s">
        <v>47</v>
      </c>
      <c r="B18" s="54">
        <f>Eksplikatsioon_summad!B10</f>
        <v>9110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40625" defaultRowHeight="15" x14ac:dyDescent="0.25"/>
  <cols>
    <col min="1" max="1" width="42.85546875" style="11" customWidth="1"/>
    <col min="2" max="2" width="21.5703125" style="51" bestFit="1" customWidth="1"/>
    <col min="3" max="27" width="8.85546875" style="14" customWidth="1"/>
    <col min="28" max="28" width="8.85546875" style="9" customWidth="1"/>
    <col min="29" max="29" width="9.85546875" style="9" hidden="1" customWidth="1"/>
    <col min="30" max="16384" width="9.140625" style="9"/>
  </cols>
  <sheetData>
    <row r="1" spans="1:31" x14ac:dyDescent="0.25">
      <c r="A1" s="10" t="s">
        <v>28</v>
      </c>
      <c r="B1" s="55" t="str">
        <f>IF('Hoone üldandmed'!B2="","",'Hoone üldandmed'!B2)</f>
        <v>Põlva maakond, Põlva vald, Põlva linn, Kesk tn 20</v>
      </c>
      <c r="C1" s="20"/>
      <c r="D1" s="20"/>
      <c r="E1" s="20"/>
      <c r="F1" s="20"/>
      <c r="G1" s="20"/>
      <c r="H1" s="20"/>
      <c r="I1" s="20"/>
      <c r="J1" s="20"/>
      <c r="K1" s="20"/>
      <c r="L1" s="20"/>
      <c r="M1" s="20"/>
      <c r="N1" s="20"/>
      <c r="O1" s="20"/>
      <c r="P1" s="20"/>
      <c r="Q1" s="20"/>
      <c r="R1" s="20"/>
      <c r="S1" s="20"/>
      <c r="T1" s="20"/>
      <c r="U1" s="20"/>
      <c r="V1" s="20"/>
      <c r="W1" s="20"/>
      <c r="X1" s="20"/>
      <c r="Y1" s="20"/>
      <c r="Z1" s="20"/>
      <c r="AA1" s="20"/>
      <c r="AC1" s="20" t="s">
        <v>48</v>
      </c>
    </row>
    <row r="3" spans="1:31" x14ac:dyDescent="0.25">
      <c r="A3" s="10" t="s">
        <v>49</v>
      </c>
    </row>
    <row r="4" spans="1:31" x14ac:dyDescent="0.25">
      <c r="A4" s="21" t="s">
        <v>50</v>
      </c>
      <c r="B4" s="56">
        <v>557.6</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25">
      <c r="A5" s="21" t="s">
        <v>51</v>
      </c>
      <c r="B5" s="51">
        <f>SUMIF(A:A,"Korruse netopind (KNP):",B:B)</f>
        <v>2078.8000000000002</v>
      </c>
    </row>
    <row r="6" spans="1:31" x14ac:dyDescent="0.25">
      <c r="A6" s="21" t="s">
        <v>52</v>
      </c>
      <c r="B6" s="51">
        <f>SUMIF(A:A,"Korruse suletud netopind (KSNP):",B:B)</f>
        <v>0</v>
      </c>
    </row>
    <row r="7" spans="1:31" x14ac:dyDescent="0.25">
      <c r="A7" s="21" t="s">
        <v>53</v>
      </c>
      <c r="B7" s="51">
        <f>SUMIF(A:A,"Korruse üüritav pind (KÜP):",B:B)</f>
        <v>1732.1</v>
      </c>
    </row>
    <row r="8" spans="1:31" x14ac:dyDescent="0.25">
      <c r="A8" s="21" t="s">
        <v>54</v>
      </c>
      <c r="B8" s="51">
        <f>SUMIF(A:A,"Korruse kasulik pind (KKP):",B:B)</f>
        <v>2341.3000000000002</v>
      </c>
    </row>
    <row r="9" spans="1:31" x14ac:dyDescent="0.25">
      <c r="A9" s="21" t="s">
        <v>55</v>
      </c>
      <c r="B9" s="51">
        <f>SUMIF(A:A,"Korruse brutopind (KBP):",B:B)</f>
        <v>2722.5</v>
      </c>
    </row>
    <row r="10" spans="1:31" x14ac:dyDescent="0.25">
      <c r="A10" s="21" t="s">
        <v>56</v>
      </c>
      <c r="B10" s="56">
        <v>9110</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25">
      <c r="A12" s="10" t="str">
        <f>IF(AND('Hoone üldandmed'!B3="",'Hoone üldandmed'!B4=""),"","EKSPLIKATSIOON KORRUSTE KAUPA:")</f>
        <v>EKSPLIKATSIOON KORRUSTE KAUPA:</v>
      </c>
    </row>
    <row r="13" spans="1:31" x14ac:dyDescent="0.25">
      <c r="A13" s="10" t="str">
        <f>IF(AND('Hoone üldandmed'!B3="",'Hoone üldandmed'!B4=""),"",MIN(Tabelid!F:F)&amp;"."&amp;" Korrus")</f>
        <v>0. Korrus</v>
      </c>
      <c r="AC13" s="23">
        <f>IFERROR(IF(FIND(".",A13)=3,LEFT(A13,2),LEFT(A13,1))*1,"")</f>
        <v>0</v>
      </c>
      <c r="AE13" s="20"/>
    </row>
    <row r="14" spans="1:31" x14ac:dyDescent="0.25">
      <c r="A14" s="21" t="str">
        <f>IF(A13="","",Tabelid!D2)</f>
        <v>Korruse üüritav pind (KÜP):</v>
      </c>
      <c r="B14" s="51">
        <f>IF(A14="","",SUMIFS(Eksplikatsioon!F:F,Eksplikatsioon!A:A,AC14,Eksplikatsioon!C:C,Tabelid!E2))</f>
        <v>340.40000000000003</v>
      </c>
      <c r="AC14" s="23">
        <f>AC13</f>
        <v>0</v>
      </c>
    </row>
    <row r="15" spans="1:31" x14ac:dyDescent="0.25">
      <c r="A15" s="21" t="str">
        <f>IF(A14="","",Tabelid!D3)</f>
        <v>Korruse vertikaalsete ühendusteede pind (KÜTP):</v>
      </c>
      <c r="B15" s="51">
        <f>IF(A15="","",SUMIFS(Eksplikatsioon!F:F,Eksplikatsioon!A:A,AC15,Eksplikatsioon!C:C,Tabelid!E3))</f>
        <v>11</v>
      </c>
      <c r="D15" s="41"/>
      <c r="AC15" s="23">
        <f t="shared" ref="AC15:AC22" si="0">AC14</f>
        <v>0</v>
      </c>
    </row>
    <row r="16" spans="1:31" x14ac:dyDescent="0.25">
      <c r="A16" s="21" t="str">
        <f>IF(A15="","",Tabelid!D4)</f>
        <v>Korruse tehnopind (KTRP):</v>
      </c>
      <c r="B16" s="51">
        <f>IF(A16="","",SUMIFS(Eksplikatsioon!F:F,Eksplikatsioon!A:A,AC16,Eksplikatsioon!C:C,Tabelid!E4))</f>
        <v>45.400000000000006</v>
      </c>
      <c r="D16" s="41"/>
      <c r="AC16" s="23">
        <f t="shared" si="0"/>
        <v>0</v>
      </c>
    </row>
    <row r="17" spans="1:29" x14ac:dyDescent="0.25">
      <c r="A17" s="21" t="str">
        <f>IF(A16="","",Tabelid!D5)</f>
        <v>Korruse netopind (KNP):</v>
      </c>
      <c r="B17" s="51">
        <f>IF(A17="","",SUM(B14:B16)+B22)</f>
        <v>411.10000000000008</v>
      </c>
      <c r="D17" s="41"/>
      <c r="E17" s="28"/>
      <c r="AC17" s="23">
        <f t="shared" si="0"/>
        <v>0</v>
      </c>
    </row>
    <row r="18" spans="1:29" x14ac:dyDescent="0.25">
      <c r="A18" s="21" t="str">
        <f>IF(A17="","",Tabelid!D6)</f>
        <v>Korruse suletud netopind (KSNP):</v>
      </c>
      <c r="B18" s="51">
        <f>IF(A18="","",SUMIFS(Eksplikatsioon!G:G,Eksplikatsioon!A:A,AC18))</f>
        <v>0</v>
      </c>
      <c r="D18" s="41"/>
      <c r="AC18" s="23">
        <f>AC17</f>
        <v>0</v>
      </c>
    </row>
    <row r="19" spans="1:29" x14ac:dyDescent="0.25">
      <c r="A19" s="21" t="str">
        <f>IF(A17="","",Tabelid!D7)</f>
        <v>Korruse kasulik pind (KKP):</v>
      </c>
      <c r="B19" s="56">
        <v>463.8</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25">
      <c r="A20" s="21" t="str">
        <f>IF(A19="","",Tabelid!D8)</f>
        <v>Korruse brutopind (KBP):</v>
      </c>
      <c r="B20" s="56">
        <v>546</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25">
      <c r="A21" s="21" t="str">
        <f>IF(A20="","",Tabelid!D9)</f>
        <v>Korruse avatud netopind (KANP):</v>
      </c>
      <c r="B21" s="51">
        <f>IF(A21="","",SUMIFS(Eksplikatsioon!F:F,Eksplikatsioon!A:A,AC21,Eksplikatsioon!C:C,Tabelid!E9))</f>
        <v>0</v>
      </c>
      <c r="D21" s="41"/>
      <c r="AC21" s="23">
        <f t="shared" si="0"/>
        <v>0</v>
      </c>
    </row>
    <row r="22" spans="1:29" x14ac:dyDescent="0.25">
      <c r="A22" s="21" t="str">
        <f>IF(A21="","",Tabelid!D10)</f>
        <v>Korruse passiivne vakantsus (KPV):</v>
      </c>
      <c r="B22" s="51">
        <f>IF(A22="","",SUMIFS(Eksplikatsioon!F:F,Eksplikatsioon!A:A,AC22,Eksplikatsioon!C:C,Tabelid!E10))</f>
        <v>14.3</v>
      </c>
      <c r="D22" s="41"/>
      <c r="AC22" s="23">
        <f t="shared" si="0"/>
        <v>0</v>
      </c>
    </row>
    <row r="23" spans="1:29" x14ac:dyDescent="0.25">
      <c r="A23" s="10" t="str">
        <f>IF(COUNTIF(Tabelid!G:G,TRUE)/10-Tabelid!H11&gt;0,MIN(Tabelid!F:F)+Tabelid!H11&amp;"."&amp;" Korrus","")</f>
        <v>1. Korrus</v>
      </c>
      <c r="D23" s="41"/>
      <c r="AC23" s="23">
        <f>IFERROR(IF(FIND(".",A23)=3,LEFT(A23,2),LEFT(A23,1))*1,"")</f>
        <v>1</v>
      </c>
    </row>
    <row r="24" spans="1:29" x14ac:dyDescent="0.25">
      <c r="A24" s="21" t="str">
        <f>IF(A23="","",Tabelid!D12)</f>
        <v>Korruse üüritav pind (KÜP):</v>
      </c>
      <c r="B24" s="51">
        <f>IF(A24="","",SUMIFS(Eksplikatsioon!F:F,Eksplikatsioon!A:A,AC24,Eksplikatsioon!C:C,Tabelid!E12))</f>
        <v>378.49999999999989</v>
      </c>
      <c r="D24" s="41"/>
      <c r="AC24" s="23">
        <f>AC23</f>
        <v>1</v>
      </c>
    </row>
    <row r="25" spans="1:29" x14ac:dyDescent="0.25">
      <c r="A25" s="21" t="str">
        <f>IF(A24="","",Tabelid!D13)</f>
        <v>Korruse vertikaalsete ühendusteede pind (KÜTP):</v>
      </c>
      <c r="B25" s="51">
        <f>IF(A25="","",SUMIFS(Eksplikatsioon!F:F,Eksplikatsioon!A:A,AC25,Eksplikatsioon!C:C,Tabelid!E13))</f>
        <v>41.8</v>
      </c>
      <c r="D25" s="41"/>
      <c r="AC25" s="23">
        <f t="shared" ref="AC25:AC32" si="1">AC24</f>
        <v>1</v>
      </c>
    </row>
    <row r="26" spans="1:29" x14ac:dyDescent="0.25">
      <c r="A26" s="21" t="str">
        <f>IF(A25="","",Tabelid!D14)</f>
        <v>Korruse tehnopind (KTRP):</v>
      </c>
      <c r="B26" s="51">
        <f>IF(A26="","",SUMIFS(Eksplikatsioon!F:F,Eksplikatsioon!A:A,AC26,Eksplikatsioon!C:C,Tabelid!E14))</f>
        <v>0</v>
      </c>
      <c r="D26" s="41"/>
      <c r="AC26" s="23">
        <f t="shared" si="1"/>
        <v>1</v>
      </c>
    </row>
    <row r="27" spans="1:29" x14ac:dyDescent="0.25">
      <c r="A27" s="21" t="str">
        <f>IF(A26="","",Tabelid!D15)</f>
        <v>Korruse netopind (KNP):</v>
      </c>
      <c r="B27" s="51">
        <f>IF(A27="","",SUM(B24:B26)+B32)</f>
        <v>420.2999999999999</v>
      </c>
      <c r="D27" s="41"/>
      <c r="AC27" s="23">
        <f t="shared" si="1"/>
        <v>1</v>
      </c>
    </row>
    <row r="28" spans="1:29" x14ac:dyDescent="0.25">
      <c r="A28" s="21" t="str">
        <f>IF(A27="","",Tabelid!D16)</f>
        <v>Korruse suletud netopind (KSNP):</v>
      </c>
      <c r="B28" s="51">
        <f>IF(A28="","",SUMIFS(Eksplikatsioon!G:G,Eksplikatsioon!A:A,AC28))</f>
        <v>0</v>
      </c>
      <c r="D28" s="41"/>
      <c r="AC28" s="23">
        <f>AC27</f>
        <v>1</v>
      </c>
    </row>
    <row r="29" spans="1:29" x14ac:dyDescent="0.25">
      <c r="A29" s="21" t="str">
        <f>IF(A27="","",Tabelid!D17)</f>
        <v>Korruse kasulik pind (KKP):</v>
      </c>
      <c r="B29" s="56">
        <v>457.3</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25">
      <c r="A30" s="21" t="str">
        <f>IF(A29="","",Tabelid!D18)</f>
        <v>Korruse brutopind (KBP):</v>
      </c>
      <c r="B30" s="56">
        <v>533.1</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25">
      <c r="A31" s="21" t="str">
        <f>IF(A30="","",Tabelid!D19)</f>
        <v>Korruse avatud netopind (KANP):</v>
      </c>
      <c r="B31" s="51">
        <f>IF(A31="","",SUMIFS(Eksplikatsioon!F:F,Eksplikatsioon!A:A,AC31,Eksplikatsioon!C:C,Tabelid!E19))</f>
        <v>14.7</v>
      </c>
      <c r="AC31" s="23">
        <f t="shared" si="1"/>
        <v>1</v>
      </c>
    </row>
    <row r="32" spans="1:29" x14ac:dyDescent="0.25">
      <c r="A32" s="21" t="str">
        <f>IF(A31="","",Tabelid!D20)</f>
        <v>Korruse passiivne vakantsus (KPV):</v>
      </c>
      <c r="B32" s="51">
        <f>IF(A32="","",SUMIFS(Eksplikatsioon!F:F,Eksplikatsioon!A:A,AC32,Eksplikatsioon!C:C,Tabelid!E20))</f>
        <v>0</v>
      </c>
      <c r="AC32" s="23">
        <f t="shared" si="1"/>
        <v>1</v>
      </c>
    </row>
    <row r="33" spans="1:29" x14ac:dyDescent="0.25">
      <c r="A33" s="10" t="str">
        <f>IF(COUNTIF(Tabelid!G:G,TRUE)/10-Tabelid!H21&gt;0,MIN(Tabelid!F:F)+Tabelid!H21&amp;"."&amp;" Korrus","")</f>
        <v>2. Korrus</v>
      </c>
      <c r="AC33" s="23">
        <f>IFERROR(IF(FIND(".",A33)=3,LEFT(A33,2),LEFT(A33,1))*1,"")</f>
        <v>2</v>
      </c>
    </row>
    <row r="34" spans="1:29" x14ac:dyDescent="0.25">
      <c r="A34" s="21" t="str">
        <f>IF(A33="","",Tabelid!D22)</f>
        <v>Korruse üüritav pind (KÜP):</v>
      </c>
      <c r="B34" s="51">
        <f>IF(A34="","",SUMIFS(Eksplikatsioon!F:F,Eksplikatsioon!A:A,AC34,Eksplikatsioon!C:C,Tabelid!E22))</f>
        <v>372.20000000000005</v>
      </c>
      <c r="AC34" s="23">
        <f>AC33</f>
        <v>2</v>
      </c>
    </row>
    <row r="35" spans="1:29" x14ac:dyDescent="0.25">
      <c r="A35" s="21" t="str">
        <f>IF(A34="","",Tabelid!D23)</f>
        <v>Korruse vertikaalsete ühendusteede pind (KÜTP):</v>
      </c>
      <c r="B35" s="51">
        <f>IF(A35="","",SUMIFS(Eksplikatsioon!F:F,Eksplikatsioon!A:A,AC35,Eksplikatsioon!C:C,Tabelid!E23))</f>
        <v>57</v>
      </c>
      <c r="AC35" s="23">
        <f t="shared" ref="AC35:AC42" si="2">AC34</f>
        <v>2</v>
      </c>
    </row>
    <row r="36" spans="1:29" x14ac:dyDescent="0.25">
      <c r="A36" s="21" t="str">
        <f>IF(A35="","",Tabelid!D24)</f>
        <v>Korruse tehnopind (KTRP):</v>
      </c>
      <c r="B36" s="51">
        <f>IF(A36="","",SUMIFS(Eksplikatsioon!F:F,Eksplikatsioon!A:A,AC36,Eksplikatsioon!C:C,Tabelid!E24))</f>
        <v>3.7</v>
      </c>
      <c r="AC36" s="23">
        <f t="shared" si="2"/>
        <v>2</v>
      </c>
    </row>
    <row r="37" spans="1:29" x14ac:dyDescent="0.25">
      <c r="A37" s="21" t="str">
        <f>IF(A36="","",Tabelid!D25)</f>
        <v>Korruse netopind (KNP):</v>
      </c>
      <c r="B37" s="51">
        <f>IF(A37="","",SUM(B34:B36)+B42)</f>
        <v>432.90000000000003</v>
      </c>
      <c r="AC37" s="23">
        <f t="shared" si="2"/>
        <v>2</v>
      </c>
    </row>
    <row r="38" spans="1:29" x14ac:dyDescent="0.25">
      <c r="A38" s="21" t="str">
        <f>IF(A37="","",Tabelid!D26)</f>
        <v>Korruse suletud netopind (KSNP):</v>
      </c>
      <c r="B38" s="51">
        <f>IF(A38="","",SUMIFS(Eksplikatsioon!G:G,Eksplikatsioon!A:A,AC38))</f>
        <v>0</v>
      </c>
      <c r="AC38" s="23">
        <f>AC37</f>
        <v>2</v>
      </c>
    </row>
    <row r="39" spans="1:29" x14ac:dyDescent="0.25">
      <c r="A39" s="21" t="str">
        <f>IF(A37="","",Tabelid!D27)</f>
        <v>Korruse kasulik pind (KKP):</v>
      </c>
      <c r="B39" s="56">
        <v>472.4</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25">
      <c r="A40" s="21" t="str">
        <f>IF(A39="","",Tabelid!D28)</f>
        <v>Korruse brutopind (KBP):</v>
      </c>
      <c r="B40" s="56">
        <v>547.79999999999995</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25">
      <c r="A41" s="21" t="str">
        <f>IF(A40="","",Tabelid!D29)</f>
        <v>Korruse avatud netopind (KANP):</v>
      </c>
      <c r="B41" s="51">
        <f>IF(A41="","",SUMIFS(Eksplikatsioon!F:F,Eksplikatsioon!A:A,AC41,Eksplikatsioon!C:C,Tabelid!E29))</f>
        <v>0</v>
      </c>
      <c r="AC41" s="23">
        <f t="shared" si="2"/>
        <v>2</v>
      </c>
    </row>
    <row r="42" spans="1:29" x14ac:dyDescent="0.25">
      <c r="A42" s="21" t="str">
        <f>IF(A41="","",Tabelid!D30)</f>
        <v>Korruse passiivne vakantsus (KPV):</v>
      </c>
      <c r="B42" s="51">
        <f>IF(A42="","",SUMIFS(Eksplikatsioon!F:F,Eksplikatsioon!A:A,AC42,Eksplikatsioon!C:C,Tabelid!E30))</f>
        <v>0</v>
      </c>
      <c r="AC42" s="23">
        <f t="shared" si="2"/>
        <v>2</v>
      </c>
    </row>
    <row r="43" spans="1:29" x14ac:dyDescent="0.25">
      <c r="A43" s="10" t="str">
        <f>IF(COUNTIF(Tabelid!G:G,TRUE)/10-Tabelid!H31&gt;0,MIN(Tabelid!F:F)+Tabelid!H31&amp;"."&amp;" Korrus","")</f>
        <v>3. Korrus</v>
      </c>
      <c r="AC43" s="23">
        <f>IFERROR(IF(FIND(".",A43)=3,LEFT(A43,2),LEFT(A43,1))*1,"")</f>
        <v>3</v>
      </c>
    </row>
    <row r="44" spans="1:29" x14ac:dyDescent="0.25">
      <c r="A44" s="21" t="str">
        <f>IF(A43="","",Tabelid!D32)</f>
        <v>Korruse üüritav pind (KÜP):</v>
      </c>
      <c r="B44" s="51">
        <f>IF(A44="","",SUMIFS(Eksplikatsioon!F:F,Eksplikatsioon!A:A,AC44,Eksplikatsioon!C:C,Tabelid!E32))</f>
        <v>389.5</v>
      </c>
      <c r="AC44" s="23">
        <f>AC43</f>
        <v>3</v>
      </c>
    </row>
    <row r="45" spans="1:29" x14ac:dyDescent="0.25">
      <c r="A45" s="21" t="str">
        <f>IF(A44="","",Tabelid!D33)</f>
        <v>Korruse vertikaalsete ühendusteede pind (KÜTP):</v>
      </c>
      <c r="B45" s="51">
        <f>IF(A45="","",SUMIFS(Eksplikatsioon!F:F,Eksplikatsioon!A:A,AC45,Eksplikatsioon!C:C,Tabelid!E33))</f>
        <v>47.099999999999994</v>
      </c>
      <c r="AC45" s="23">
        <f t="shared" ref="AC45:AC52" si="3">AC44</f>
        <v>3</v>
      </c>
    </row>
    <row r="46" spans="1:29" x14ac:dyDescent="0.25">
      <c r="A46" s="21" t="str">
        <f>IF(A45="","",Tabelid!D34)</f>
        <v>Korruse tehnopind (KTRP):</v>
      </c>
      <c r="B46" s="51">
        <f>IF(A46="","",SUMIFS(Eksplikatsioon!F:F,Eksplikatsioon!A:A,AC46,Eksplikatsioon!C:C,Tabelid!E34))</f>
        <v>0</v>
      </c>
      <c r="AC46" s="23">
        <f t="shared" si="3"/>
        <v>3</v>
      </c>
    </row>
    <row r="47" spans="1:29" x14ac:dyDescent="0.25">
      <c r="A47" s="21" t="str">
        <f>IF(A46="","",Tabelid!D35)</f>
        <v>Korruse netopind (KNP):</v>
      </c>
      <c r="B47" s="51">
        <f>IF(A47="","",SUM(B44:B46)+B52)</f>
        <v>436.6</v>
      </c>
      <c r="AC47" s="23">
        <f t="shared" si="3"/>
        <v>3</v>
      </c>
    </row>
    <row r="48" spans="1:29" x14ac:dyDescent="0.25">
      <c r="A48" s="21" t="str">
        <f>IF(A47="","",Tabelid!D36)</f>
        <v>Korruse suletud netopind (KSNP):</v>
      </c>
      <c r="B48" s="51">
        <f>IF(A48="","",SUMIFS(Eksplikatsioon!G:G,Eksplikatsioon!A:A,AC48))</f>
        <v>0</v>
      </c>
      <c r="AC48" s="23">
        <f>AC47</f>
        <v>3</v>
      </c>
    </row>
    <row r="49" spans="1:29" x14ac:dyDescent="0.25">
      <c r="A49" s="21" t="str">
        <f>IF(A47="","",Tabelid!D37)</f>
        <v>Korruse kasulik pind (KKP):</v>
      </c>
      <c r="B49" s="56">
        <v>473.4</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3</v>
      </c>
    </row>
    <row r="50" spans="1:29" x14ac:dyDescent="0.25">
      <c r="A50" s="21" t="str">
        <f>IF(A49="","",Tabelid!D38)</f>
        <v>Korruse brutopind (KBP):</v>
      </c>
      <c r="B50" s="56">
        <v>547.79999999999995</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3</v>
      </c>
    </row>
    <row r="51" spans="1:29" x14ac:dyDescent="0.25">
      <c r="A51" s="21" t="str">
        <f>IF(A50="","",Tabelid!D39)</f>
        <v>Korruse avatud netopind (KANP):</v>
      </c>
      <c r="B51" s="51">
        <f>IF(A51="","",SUMIFS(Eksplikatsioon!F:F,Eksplikatsioon!A:A,AC51,Eksplikatsioon!C:C,Tabelid!E39))</f>
        <v>0</v>
      </c>
      <c r="AC51" s="23">
        <f t="shared" si="3"/>
        <v>3</v>
      </c>
    </row>
    <row r="52" spans="1:29" x14ac:dyDescent="0.25">
      <c r="A52" s="21" t="str">
        <f>IF(A51="","",Tabelid!D40)</f>
        <v>Korruse passiivne vakantsus (KPV):</v>
      </c>
      <c r="B52" s="51">
        <f>IF(A52="","",SUMIFS(Eksplikatsioon!F:F,Eksplikatsioon!A:A,AC52,Eksplikatsioon!C:C,Tabelid!E40))</f>
        <v>0</v>
      </c>
      <c r="AC52" s="23">
        <f t="shared" si="3"/>
        <v>3</v>
      </c>
    </row>
    <row r="53" spans="1:29" x14ac:dyDescent="0.25">
      <c r="A53" s="10" t="str">
        <f>IF(COUNTIF(Tabelid!G:G,TRUE)/10-Tabelid!H41&gt;0,MIN(Tabelid!F:F)+Tabelid!H41&amp;"."&amp;" Korrus","")</f>
        <v>4. Korrus</v>
      </c>
      <c r="AC53" s="23">
        <f>IFERROR(IF(FIND(".",A53)=3,LEFT(A53,2),LEFT(A53,1))*1,"")</f>
        <v>4</v>
      </c>
    </row>
    <row r="54" spans="1:29" x14ac:dyDescent="0.25">
      <c r="A54" s="21" t="str">
        <f>IF(A53="","",Tabelid!D42)</f>
        <v>Korruse üüritav pind (KÜP):</v>
      </c>
      <c r="B54" s="51">
        <f>IF(A54="","",SUMIFS(Eksplikatsioon!F:F,Eksplikatsioon!A:A,AC54,Eksplikatsioon!C:C,Tabelid!E42))</f>
        <v>251.5</v>
      </c>
      <c r="AC54" s="23">
        <f>AC53</f>
        <v>4</v>
      </c>
    </row>
    <row r="55" spans="1:29" x14ac:dyDescent="0.25">
      <c r="A55" s="21" t="str">
        <f>IF(A54="","",Tabelid!D43)</f>
        <v>Korruse vertikaalsete ühendusteede pind (KÜTP):</v>
      </c>
      <c r="B55" s="51">
        <f>IF(A55="","",SUMIFS(Eksplikatsioon!F:F,Eksplikatsioon!A:A,AC55,Eksplikatsioon!C:C,Tabelid!E43))</f>
        <v>23.6</v>
      </c>
      <c r="AC55" s="23">
        <f t="shared" ref="AC55:AC62" si="4">AC54</f>
        <v>4</v>
      </c>
    </row>
    <row r="56" spans="1:29" x14ac:dyDescent="0.25">
      <c r="A56" s="21" t="str">
        <f>IF(A55="","",Tabelid!D44)</f>
        <v>Korruse tehnopind (KTRP):</v>
      </c>
      <c r="B56" s="51">
        <f>IF(A56="","",SUMIFS(Eksplikatsioon!F:F,Eksplikatsioon!A:A,AC56,Eksplikatsioon!C:C,Tabelid!E44))</f>
        <v>102.8</v>
      </c>
      <c r="AC56" s="23">
        <f t="shared" si="4"/>
        <v>4</v>
      </c>
    </row>
    <row r="57" spans="1:29" x14ac:dyDescent="0.25">
      <c r="A57" s="21" t="str">
        <f>IF(A56="","",Tabelid!D45)</f>
        <v>Korruse netopind (KNP):</v>
      </c>
      <c r="B57" s="51">
        <f>IF(A57="","",SUM(B54:B56)+B62)</f>
        <v>377.90000000000003</v>
      </c>
      <c r="AC57" s="23">
        <f t="shared" si="4"/>
        <v>4</v>
      </c>
    </row>
    <row r="58" spans="1:29" x14ac:dyDescent="0.25">
      <c r="A58" s="21" t="str">
        <f>IF(A57="","",Tabelid!D46)</f>
        <v>Korruse suletud netopind (KSNP):</v>
      </c>
      <c r="B58" s="51">
        <f>IF(A58="","",SUMIFS(Eksplikatsioon!G:G,Eksplikatsioon!A:A,AC58))</f>
        <v>0</v>
      </c>
      <c r="AC58" s="23">
        <f>AC57</f>
        <v>4</v>
      </c>
    </row>
    <row r="59" spans="1:29" x14ac:dyDescent="0.25">
      <c r="A59" s="21" t="str">
        <f>IF(A57="","",Tabelid!D47)</f>
        <v>Korruse kasulik pind (KKP):</v>
      </c>
      <c r="B59" s="56">
        <v>474.4</v>
      </c>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4</v>
      </c>
    </row>
    <row r="60" spans="1:29" x14ac:dyDescent="0.25">
      <c r="A60" s="21" t="str">
        <f>IF(A59="","",Tabelid!D48)</f>
        <v>Korruse brutopind (KBP):</v>
      </c>
      <c r="B60" s="56">
        <v>547.79999999999995</v>
      </c>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4</v>
      </c>
    </row>
    <row r="61" spans="1:29" x14ac:dyDescent="0.25">
      <c r="A61" s="21" t="str">
        <f>IF(A60="","",Tabelid!D49)</f>
        <v>Korruse avatud netopind (KANP):</v>
      </c>
      <c r="B61" s="51">
        <f>IF(A61="","",SUMIFS(Eksplikatsioon!F:F,Eksplikatsioon!A:A,AC61,Eksplikatsioon!C:C,Tabelid!E49))</f>
        <v>0</v>
      </c>
      <c r="AC61" s="23">
        <f t="shared" si="4"/>
        <v>4</v>
      </c>
    </row>
    <row r="62" spans="1:29" x14ac:dyDescent="0.25">
      <c r="A62" s="21" t="str">
        <f>IF(A61="","",Tabelid!D50)</f>
        <v>Korruse passiivne vakantsus (KPV):</v>
      </c>
      <c r="B62" s="51">
        <f>IF(A62="","",SUMIFS(Eksplikatsioon!F:F,Eksplikatsioon!A:A,AC62,Eksplikatsioon!C:C,Tabelid!E50))</f>
        <v>0</v>
      </c>
      <c r="AC62" s="23">
        <f t="shared" si="4"/>
        <v>4</v>
      </c>
    </row>
    <row r="63" spans="1:29" x14ac:dyDescent="0.25">
      <c r="A63" s="10" t="str">
        <f>IF(COUNTIF(Tabelid!G:G,TRUE)/10-Tabelid!H51&gt;0,MIN(Tabelid!F:F)+Tabelid!H51&amp;"."&amp;" Korrus","")</f>
        <v/>
      </c>
      <c r="AC63" s="23" t="str">
        <f>IFERROR(IF(FIND(".",A63)=3,LEFT(A63,2),LEFT(A63,1))*1,"")</f>
        <v/>
      </c>
    </row>
    <row r="64" spans="1:29" x14ac:dyDescent="0.25">
      <c r="A64" s="21" t="str">
        <f>IF(A63="","",Tabelid!D52)</f>
        <v/>
      </c>
      <c r="B64" s="51" t="str">
        <f>IF(A64="","",SUMIFS(Eksplikatsioon!F:F,Eksplikatsioon!A:A,AC64,Eksplikatsioon!C:C,Tabelid!E52))</f>
        <v/>
      </c>
      <c r="AC64" s="23" t="str">
        <f>AC63</f>
        <v/>
      </c>
    </row>
    <row r="65" spans="1:29" x14ac:dyDescent="0.25">
      <c r="A65" s="21" t="str">
        <f>IF(A64="","",Tabelid!D53)</f>
        <v/>
      </c>
      <c r="B65" s="51" t="str">
        <f>IF(A65="","",SUMIFS(Eksplikatsioon!F:F,Eksplikatsioon!A:A,AC65,Eksplikatsioon!C:C,Tabelid!E53))</f>
        <v/>
      </c>
      <c r="AC65" s="23" t="str">
        <f t="shared" ref="AC65:AC72" si="5">AC64</f>
        <v/>
      </c>
    </row>
    <row r="66" spans="1:29" x14ac:dyDescent="0.25">
      <c r="A66" s="21" t="str">
        <f>IF(A65="","",Tabelid!D54)</f>
        <v/>
      </c>
      <c r="B66" s="51" t="str">
        <f>IF(A66="","",SUMIFS(Eksplikatsioon!F:F,Eksplikatsioon!A:A,AC66,Eksplikatsioon!C:C,Tabelid!E54))</f>
        <v/>
      </c>
      <c r="AC66" s="23" t="str">
        <f t="shared" si="5"/>
        <v/>
      </c>
    </row>
    <row r="67" spans="1:29" x14ac:dyDescent="0.25">
      <c r="A67" s="21" t="str">
        <f>IF(A66="","",Tabelid!D55)</f>
        <v/>
      </c>
      <c r="B67" s="51" t="str">
        <f>IF(A67="","",SUM(B64:B66)+B72)</f>
        <v/>
      </c>
      <c r="AC67" s="23" t="str">
        <f t="shared" si="5"/>
        <v/>
      </c>
    </row>
    <row r="68" spans="1:29" x14ac:dyDescent="0.25">
      <c r="A68" s="21" t="str">
        <f>IF(A67="","",Tabelid!D56)</f>
        <v/>
      </c>
      <c r="B68" s="51" t="str">
        <f>IF(A68="","",SUMIFS(Eksplikatsioon!G:G,Eksplikatsioon!A:A,AC68))</f>
        <v/>
      </c>
      <c r="AC68" s="23" t="str">
        <f>AC67</f>
        <v/>
      </c>
    </row>
    <row r="69" spans="1:29" x14ac:dyDescent="0.2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2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25">
      <c r="A71" s="21" t="str">
        <f>IF(A70="","",Tabelid!D59)</f>
        <v/>
      </c>
      <c r="B71" s="51" t="str">
        <f>IF(A71="","",SUMIFS(Eksplikatsioon!F:F,Eksplikatsioon!A:A,AC71,Eksplikatsioon!C:C,Tabelid!E59))</f>
        <v/>
      </c>
      <c r="AC71" s="23" t="str">
        <f t="shared" si="5"/>
        <v/>
      </c>
    </row>
    <row r="72" spans="1:29" x14ac:dyDescent="0.25">
      <c r="A72" s="21" t="str">
        <f>IF(A71="","",Tabelid!D60)</f>
        <v/>
      </c>
      <c r="B72" s="51" t="str">
        <f>IF(A72="","",SUMIFS(Eksplikatsioon!F:F,Eksplikatsioon!A:A,AC72,Eksplikatsioon!C:C,Tabelid!E60))</f>
        <v/>
      </c>
      <c r="AC72" s="23" t="str">
        <f t="shared" si="5"/>
        <v/>
      </c>
    </row>
    <row r="73" spans="1:29" x14ac:dyDescent="0.25">
      <c r="A73" s="10" t="str">
        <f>IF(COUNTIF(Tabelid!G:G,TRUE)/10-Tabelid!H61&gt;0,MIN(Tabelid!F:F)+Tabelid!H61&amp;"."&amp;" Korrus","")</f>
        <v/>
      </c>
      <c r="AC73" s="23" t="str">
        <f>IFERROR(IF(FIND(".",A73)=3,LEFT(A73,2),LEFT(A73,1))*1,"")</f>
        <v/>
      </c>
    </row>
    <row r="74" spans="1:29" x14ac:dyDescent="0.25">
      <c r="A74" s="21" t="str">
        <f>IF(A73="","",Tabelid!D62)</f>
        <v/>
      </c>
      <c r="B74" s="51" t="str">
        <f>IF(A74="","",SUMIFS(Eksplikatsioon!F:F,Eksplikatsioon!A:A,AC74,Eksplikatsioon!C:C,Tabelid!E62))</f>
        <v/>
      </c>
      <c r="AC74" s="23" t="str">
        <f>AC73</f>
        <v/>
      </c>
    </row>
    <row r="75" spans="1:29" x14ac:dyDescent="0.25">
      <c r="A75" s="21" t="str">
        <f>IF(A74="","",Tabelid!D63)</f>
        <v/>
      </c>
      <c r="B75" s="51" t="str">
        <f>IF(A75="","",SUMIFS(Eksplikatsioon!F:F,Eksplikatsioon!A:A,AC75,Eksplikatsioon!C:C,Tabelid!E63))</f>
        <v/>
      </c>
      <c r="AC75" s="23" t="str">
        <f t="shared" ref="AC75:AC82" si="6">AC74</f>
        <v/>
      </c>
    </row>
    <row r="76" spans="1:29" x14ac:dyDescent="0.25">
      <c r="A76" s="21" t="str">
        <f>IF(A75="","",Tabelid!D64)</f>
        <v/>
      </c>
      <c r="B76" s="51" t="str">
        <f>IF(A76="","",SUMIFS(Eksplikatsioon!F:F,Eksplikatsioon!A:A,AC76,Eksplikatsioon!C:C,Tabelid!E64))</f>
        <v/>
      </c>
      <c r="AC76" s="23" t="str">
        <f t="shared" si="6"/>
        <v/>
      </c>
    </row>
    <row r="77" spans="1:29" x14ac:dyDescent="0.25">
      <c r="A77" s="21" t="str">
        <f>IF(A76="","",Tabelid!D65)</f>
        <v/>
      </c>
      <c r="B77" s="51" t="str">
        <f>IF(A77="","",SUM(B74:B76)+B82)</f>
        <v/>
      </c>
      <c r="AC77" s="23" t="str">
        <f t="shared" si="6"/>
        <v/>
      </c>
    </row>
    <row r="78" spans="1:29" x14ac:dyDescent="0.25">
      <c r="A78" s="21" t="str">
        <f>IF(A77="","",Tabelid!D66)</f>
        <v/>
      </c>
      <c r="B78" s="51" t="str">
        <f>IF(A78="","",SUMIFS(Eksplikatsioon!G:G,Eksplikatsioon!A:A,AC78))</f>
        <v/>
      </c>
      <c r="AC78" s="23" t="str">
        <f>AC77</f>
        <v/>
      </c>
    </row>
    <row r="79" spans="1:29" x14ac:dyDescent="0.2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2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25">
      <c r="A81" s="21" t="str">
        <f>IF(A80="","",Tabelid!D69)</f>
        <v/>
      </c>
      <c r="B81" s="51" t="str">
        <f>IF(A81="","",SUMIFS(Eksplikatsioon!F:F,Eksplikatsioon!A:A,AC81,Eksplikatsioon!C:C,Tabelid!E69))</f>
        <v/>
      </c>
      <c r="AC81" s="23" t="str">
        <f t="shared" si="6"/>
        <v/>
      </c>
    </row>
    <row r="82" spans="1:29" x14ac:dyDescent="0.25">
      <c r="A82" s="21" t="str">
        <f>IF(A81="","",Tabelid!D70)</f>
        <v/>
      </c>
      <c r="B82" s="51" t="str">
        <f>IF(A82="","",SUMIFS(Eksplikatsioon!F:F,Eksplikatsioon!A:A,AC82,Eksplikatsioon!C:C,Tabelid!E70))</f>
        <v/>
      </c>
      <c r="AC82" s="23" t="str">
        <f t="shared" si="6"/>
        <v/>
      </c>
    </row>
    <row r="83" spans="1:29" x14ac:dyDescent="0.25">
      <c r="A83" s="10" t="str">
        <f>IF(COUNTIF(Tabelid!G:G,TRUE)/10-Tabelid!H71&gt;0,MIN(Tabelid!F:F)+Tabelid!H71&amp;"."&amp;" Korrus","")</f>
        <v/>
      </c>
      <c r="AC83" s="23" t="str">
        <f>IFERROR(IF(FIND(".",A83)=3,LEFT(A83,2),LEFT(A83,1))*1,"")</f>
        <v/>
      </c>
    </row>
    <row r="84" spans="1:29" x14ac:dyDescent="0.25">
      <c r="A84" s="21" t="str">
        <f>IF(A83="","",Tabelid!D72)</f>
        <v/>
      </c>
      <c r="B84" s="51" t="str">
        <f>IF(A84="","",SUMIFS(Eksplikatsioon!F:F,Eksplikatsioon!A:A,AC84,Eksplikatsioon!C:C,Tabelid!E72))</f>
        <v/>
      </c>
      <c r="AC84" s="23" t="str">
        <f>AC83</f>
        <v/>
      </c>
    </row>
    <row r="85" spans="1:29" x14ac:dyDescent="0.25">
      <c r="A85" s="21" t="str">
        <f>IF(A84="","",Tabelid!D73)</f>
        <v/>
      </c>
      <c r="B85" s="51" t="str">
        <f>IF(A85="","",SUMIFS(Eksplikatsioon!F:F,Eksplikatsioon!A:A,AC85,Eksplikatsioon!C:C,Tabelid!E73))</f>
        <v/>
      </c>
      <c r="AC85" s="23" t="str">
        <f t="shared" ref="AC85:AC92" si="7">AC84</f>
        <v/>
      </c>
    </row>
    <row r="86" spans="1:29" x14ac:dyDescent="0.25">
      <c r="A86" s="21" t="str">
        <f>IF(A85="","",Tabelid!D74)</f>
        <v/>
      </c>
      <c r="B86" s="51" t="str">
        <f>IF(A86="","",SUMIFS(Eksplikatsioon!F:F,Eksplikatsioon!A:A,AC86,Eksplikatsioon!C:C,Tabelid!E74))</f>
        <v/>
      </c>
      <c r="AC86" s="23" t="str">
        <f t="shared" si="7"/>
        <v/>
      </c>
    </row>
    <row r="87" spans="1:29" x14ac:dyDescent="0.25">
      <c r="A87" s="21" t="str">
        <f>IF(A86="","",Tabelid!D75)</f>
        <v/>
      </c>
      <c r="B87" s="51" t="str">
        <f>IF(A87="","",SUM(B84:B86)+B92)</f>
        <v/>
      </c>
      <c r="AC87" s="23" t="str">
        <f t="shared" si="7"/>
        <v/>
      </c>
    </row>
    <row r="88" spans="1:29" x14ac:dyDescent="0.25">
      <c r="A88" s="21" t="str">
        <f>IF(A87="","",Tabelid!D76)</f>
        <v/>
      </c>
      <c r="B88" s="51" t="str">
        <f>IF(A88="","",SUMIFS(Eksplikatsioon!G:G,Eksplikatsioon!A:A,AC88))</f>
        <v/>
      </c>
      <c r="AC88" s="23" t="str">
        <f>AC87</f>
        <v/>
      </c>
    </row>
    <row r="89" spans="1:29" x14ac:dyDescent="0.2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2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25">
      <c r="A91" s="21" t="str">
        <f>IF(A90="","",Tabelid!D79)</f>
        <v/>
      </c>
      <c r="B91" s="51" t="str">
        <f>IF(A91="","",SUMIFS(Eksplikatsioon!F:F,Eksplikatsioon!A:A,AC91,Eksplikatsioon!C:C,Tabelid!E79))</f>
        <v/>
      </c>
      <c r="AC91" s="23" t="str">
        <f t="shared" si="7"/>
        <v/>
      </c>
    </row>
    <row r="92" spans="1:29" x14ac:dyDescent="0.25">
      <c r="A92" s="21" t="str">
        <f>IF(A91="","",Tabelid!D80)</f>
        <v/>
      </c>
      <c r="B92" s="51" t="str">
        <f>IF(A92="","",SUMIFS(Eksplikatsioon!F:F,Eksplikatsioon!A:A,AC92,Eksplikatsioon!C:C,Tabelid!E80))</f>
        <v/>
      </c>
      <c r="AC92" s="23" t="str">
        <f t="shared" si="7"/>
        <v/>
      </c>
    </row>
    <row r="93" spans="1:29" x14ac:dyDescent="0.25">
      <c r="A93" s="10" t="str">
        <f>IF(COUNTIF(Tabelid!G:G,TRUE)/10-Tabelid!H81&gt;0,MIN(Tabelid!F:F)+Tabelid!H81&amp;"."&amp;" Korrus","")</f>
        <v/>
      </c>
      <c r="AC93" s="23" t="str">
        <f>IFERROR(IF(FIND(".",A93)=3,LEFT(A93,2),LEFT(A93,1))*1,"")</f>
        <v/>
      </c>
    </row>
    <row r="94" spans="1:29" x14ac:dyDescent="0.25">
      <c r="A94" s="21" t="str">
        <f>IF(A93="","",Tabelid!D82)</f>
        <v/>
      </c>
      <c r="B94" s="51" t="str">
        <f>IF(A94="","",SUMIFS(Eksplikatsioon!F:F,Eksplikatsioon!A:A,AC94,Eksplikatsioon!C:C,Tabelid!E82))</f>
        <v/>
      </c>
      <c r="AC94" s="23" t="str">
        <f>AC93</f>
        <v/>
      </c>
    </row>
    <row r="95" spans="1:29" x14ac:dyDescent="0.25">
      <c r="A95" s="21" t="str">
        <f>IF(A94="","",Tabelid!D83)</f>
        <v/>
      </c>
      <c r="B95" s="51" t="str">
        <f>IF(A95="","",SUMIFS(Eksplikatsioon!F:F,Eksplikatsioon!A:A,AC95,Eksplikatsioon!C:C,Tabelid!E83))</f>
        <v/>
      </c>
      <c r="AC95" s="23" t="str">
        <f t="shared" ref="AC95:AC102" si="8">AC94</f>
        <v/>
      </c>
    </row>
    <row r="96" spans="1:29" x14ac:dyDescent="0.25">
      <c r="A96" s="21" t="str">
        <f>IF(A95="","",Tabelid!D84)</f>
        <v/>
      </c>
      <c r="B96" s="51" t="str">
        <f>IF(A96="","",SUMIFS(Eksplikatsioon!F:F,Eksplikatsioon!A:A,AC96,Eksplikatsioon!C:C,Tabelid!E84))</f>
        <v/>
      </c>
      <c r="AC96" s="23" t="str">
        <f t="shared" si="8"/>
        <v/>
      </c>
    </row>
    <row r="97" spans="1:29" x14ac:dyDescent="0.25">
      <c r="A97" s="21" t="str">
        <f>IF(A96="","",Tabelid!D85)</f>
        <v/>
      </c>
      <c r="B97" s="51" t="str">
        <f>IF(A97="","",SUM(B94:B96)+B102)</f>
        <v/>
      </c>
      <c r="AC97" s="23" t="str">
        <f t="shared" si="8"/>
        <v/>
      </c>
    </row>
    <row r="98" spans="1:29" x14ac:dyDescent="0.25">
      <c r="A98" s="21" t="str">
        <f>IF(A97="","",Tabelid!D86)</f>
        <v/>
      </c>
      <c r="B98" s="51" t="str">
        <f>IF(A98="","",SUMIFS(Eksplikatsioon!G:G,Eksplikatsioon!A:A,AC98))</f>
        <v/>
      </c>
      <c r="AC98" s="23" t="str">
        <f>AC97</f>
        <v/>
      </c>
    </row>
    <row r="99" spans="1:29" x14ac:dyDescent="0.2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2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25">
      <c r="A101" s="21" t="str">
        <f>IF(A100="","",Tabelid!D89)</f>
        <v/>
      </c>
      <c r="B101" s="51" t="str">
        <f>IF(A101="","",SUMIFS(Eksplikatsioon!F:F,Eksplikatsioon!A:A,AC101,Eksplikatsioon!C:C,Tabelid!E89))</f>
        <v/>
      </c>
      <c r="AC101" s="23" t="str">
        <f t="shared" si="8"/>
        <v/>
      </c>
    </row>
    <row r="102" spans="1:29" x14ac:dyDescent="0.25">
      <c r="A102" s="21" t="str">
        <f>IF(A101="","",Tabelid!D90)</f>
        <v/>
      </c>
      <c r="B102" s="51" t="str">
        <f>IF(A102="","",SUMIFS(Eksplikatsioon!F:F,Eksplikatsioon!A:A,AC102,Eksplikatsioon!C:C,Tabelid!E90))</f>
        <v/>
      </c>
      <c r="AC102" s="23" t="str">
        <f t="shared" si="8"/>
        <v/>
      </c>
    </row>
    <row r="103" spans="1:29" x14ac:dyDescent="0.25">
      <c r="A103" s="10" t="str">
        <f>IF(COUNTIF(Tabelid!G:G,TRUE)/10-Tabelid!H91&gt;0,MIN(Tabelid!F:F)+Tabelid!H91&amp;"."&amp;" Korrus","")</f>
        <v/>
      </c>
      <c r="AC103" s="23" t="str">
        <f>IFERROR(IF(FIND(".",A103)=3,LEFT(A103,2),LEFT(A103,1))*1,"")</f>
        <v/>
      </c>
    </row>
    <row r="104" spans="1:29" x14ac:dyDescent="0.25">
      <c r="A104" s="21" t="str">
        <f>IF(A103="","",Tabelid!D92)</f>
        <v/>
      </c>
      <c r="B104" s="51" t="str">
        <f>IF(A104="","",SUMIFS(Eksplikatsioon!F:F,Eksplikatsioon!A:A,AC104,Eksplikatsioon!C:C,Tabelid!E92))</f>
        <v/>
      </c>
      <c r="AC104" s="23" t="str">
        <f>AC103</f>
        <v/>
      </c>
    </row>
    <row r="105" spans="1:29" x14ac:dyDescent="0.25">
      <c r="A105" s="21" t="str">
        <f>IF(A104="","",Tabelid!D93)</f>
        <v/>
      </c>
      <c r="B105" s="51" t="str">
        <f>IF(A105="","",SUMIFS(Eksplikatsioon!F:F,Eksplikatsioon!A:A,AC105,Eksplikatsioon!C:C,Tabelid!E93))</f>
        <v/>
      </c>
      <c r="AC105" s="23" t="str">
        <f t="shared" ref="AC105:AC112" si="9">AC104</f>
        <v/>
      </c>
    </row>
    <row r="106" spans="1:29" x14ac:dyDescent="0.25">
      <c r="A106" s="21" t="str">
        <f>IF(A105="","",Tabelid!D94)</f>
        <v/>
      </c>
      <c r="B106" s="51" t="str">
        <f>IF(A106="","",SUMIFS(Eksplikatsioon!F:F,Eksplikatsioon!A:A,AC106,Eksplikatsioon!C:C,Tabelid!E94))</f>
        <v/>
      </c>
      <c r="AC106" s="23" t="str">
        <f t="shared" si="9"/>
        <v/>
      </c>
    </row>
    <row r="107" spans="1:29" x14ac:dyDescent="0.25">
      <c r="A107" s="21" t="str">
        <f>IF(A106="","",Tabelid!D95)</f>
        <v/>
      </c>
      <c r="B107" s="51" t="str">
        <f>IF(A107="","",SUM(B104:B106)+B112)</f>
        <v/>
      </c>
      <c r="AC107" s="23" t="str">
        <f t="shared" si="9"/>
        <v/>
      </c>
    </row>
    <row r="108" spans="1:29" x14ac:dyDescent="0.25">
      <c r="A108" s="21" t="str">
        <f>IF(A107="","",Tabelid!D96)</f>
        <v/>
      </c>
      <c r="B108" s="51" t="str">
        <f>IF(A108="","",SUMIFS(Eksplikatsioon!G:G,Eksplikatsioon!A:A,AC108))</f>
        <v/>
      </c>
      <c r="AC108" s="23" t="str">
        <f>AC107</f>
        <v/>
      </c>
    </row>
    <row r="109" spans="1:29" x14ac:dyDescent="0.2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2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25">
      <c r="A111" s="21" t="str">
        <f>IF(A110="","",Tabelid!D99)</f>
        <v/>
      </c>
      <c r="B111" s="51" t="str">
        <f>IF(A111="","",SUMIFS(Eksplikatsioon!F:F,Eksplikatsioon!A:A,AC111,Eksplikatsioon!C:C,Tabelid!E99))</f>
        <v/>
      </c>
      <c r="AC111" s="23" t="str">
        <f t="shared" si="9"/>
        <v/>
      </c>
    </row>
    <row r="112" spans="1:29" x14ac:dyDescent="0.25">
      <c r="A112" s="21" t="str">
        <f>IF(A111="","",Tabelid!D100)</f>
        <v/>
      </c>
      <c r="B112" s="51" t="str">
        <f>IF(A112="","",SUMIFS(Eksplikatsioon!F:F,Eksplikatsioon!A:A,AC112,Eksplikatsioon!C:C,Tabelid!E100))</f>
        <v/>
      </c>
      <c r="AC112" s="23" t="str">
        <f t="shared" si="9"/>
        <v/>
      </c>
    </row>
    <row r="113" spans="1:29" x14ac:dyDescent="0.25">
      <c r="A113" s="10" t="str">
        <f>IF(COUNTIF(Tabelid!G:G,TRUE)/10-Tabelid!H101&gt;0,MIN(Tabelid!F:F)+Tabelid!H101&amp;"."&amp;" Korrus","")</f>
        <v/>
      </c>
      <c r="AC113" s="23" t="str">
        <f>IFERROR(IF(FIND(".",A113)=3,LEFT(A113,2),LEFT(A113,1))*1,"")</f>
        <v/>
      </c>
    </row>
    <row r="114" spans="1:29" x14ac:dyDescent="0.25">
      <c r="A114" s="21" t="str">
        <f>IF(A113="","",Tabelid!D102)</f>
        <v/>
      </c>
      <c r="B114" s="51" t="str">
        <f>IF(A114="","",SUMIFS(Eksplikatsioon!F:F,Eksplikatsioon!A:A,AC114,Eksplikatsioon!C:C,Tabelid!E102))</f>
        <v/>
      </c>
      <c r="AC114" s="23" t="str">
        <f>AC113</f>
        <v/>
      </c>
    </row>
    <row r="115" spans="1:29" x14ac:dyDescent="0.25">
      <c r="A115" s="21" t="str">
        <f>IF(A114="","",Tabelid!D103)</f>
        <v/>
      </c>
      <c r="B115" s="51" t="str">
        <f>IF(A115="","",SUMIFS(Eksplikatsioon!F:F,Eksplikatsioon!A:A,AC115,Eksplikatsioon!C:C,Tabelid!E103))</f>
        <v/>
      </c>
      <c r="AC115" s="23" t="str">
        <f t="shared" ref="AC115:AC122" si="10">AC114</f>
        <v/>
      </c>
    </row>
    <row r="116" spans="1:29" x14ac:dyDescent="0.25">
      <c r="A116" s="21" t="str">
        <f>IF(A115="","",Tabelid!D104)</f>
        <v/>
      </c>
      <c r="B116" s="51" t="str">
        <f>IF(A116="","",SUMIFS(Eksplikatsioon!F:F,Eksplikatsioon!A:A,AC116,Eksplikatsioon!C:C,Tabelid!E104))</f>
        <v/>
      </c>
      <c r="AC116" s="23" t="str">
        <f t="shared" si="10"/>
        <v/>
      </c>
    </row>
    <row r="117" spans="1:29" x14ac:dyDescent="0.25">
      <c r="A117" s="21" t="str">
        <f>IF(A116="","",Tabelid!D105)</f>
        <v/>
      </c>
      <c r="B117" s="51" t="str">
        <f>IF(A117="","",SUM(B114:B116)+B122)</f>
        <v/>
      </c>
      <c r="AC117" s="23" t="str">
        <f t="shared" si="10"/>
        <v/>
      </c>
    </row>
    <row r="118" spans="1:29" x14ac:dyDescent="0.25">
      <c r="A118" s="21" t="str">
        <f>IF(A117="","",Tabelid!D106)</f>
        <v/>
      </c>
      <c r="B118" s="51" t="str">
        <f>IF(A118="","",SUMIFS(Eksplikatsioon!G:G,Eksplikatsioon!A:A,AC118))</f>
        <v/>
      </c>
      <c r="AC118" s="23" t="str">
        <f>AC117</f>
        <v/>
      </c>
    </row>
    <row r="119" spans="1:29" x14ac:dyDescent="0.2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2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25">
      <c r="A121" s="21" t="str">
        <f>IF(A120="","",Tabelid!D109)</f>
        <v/>
      </c>
      <c r="B121" s="51" t="str">
        <f>IF(A121="","",SUMIFS(Eksplikatsioon!F:F,Eksplikatsioon!A:A,AC121,Eksplikatsioon!C:C,Tabelid!E109))</f>
        <v/>
      </c>
      <c r="AC121" s="23" t="str">
        <f t="shared" si="10"/>
        <v/>
      </c>
    </row>
    <row r="122" spans="1:29" x14ac:dyDescent="0.25">
      <c r="A122" s="21" t="str">
        <f>IF(A121="","",Tabelid!D110)</f>
        <v/>
      </c>
      <c r="B122" s="51" t="str">
        <f>IF(A122="","",SUMIFS(Eksplikatsioon!F:F,Eksplikatsioon!A:A,AC122,Eksplikatsioon!C:C,Tabelid!E110))</f>
        <v/>
      </c>
      <c r="AC122" s="23" t="str">
        <f t="shared" si="10"/>
        <v/>
      </c>
    </row>
    <row r="123" spans="1:29" x14ac:dyDescent="0.25">
      <c r="A123" s="10" t="str">
        <f>IF(COUNTIF(Tabelid!G:G,TRUE)/10-Tabelid!H111&gt;0,MIN(Tabelid!F:F)+Tabelid!H111&amp;"."&amp;" Korrus","")</f>
        <v/>
      </c>
      <c r="AC123" s="23" t="str">
        <f>IFERROR(IF(FIND(".",A123)=3,LEFT(A123,2),LEFT(A123,1))*1,"")</f>
        <v/>
      </c>
    </row>
    <row r="124" spans="1:29" x14ac:dyDescent="0.25">
      <c r="A124" s="21" t="str">
        <f>IF(A123="","",Tabelid!D112)</f>
        <v/>
      </c>
      <c r="B124" s="51" t="str">
        <f>IF(A124="","",SUMIFS(Eksplikatsioon!F:F,Eksplikatsioon!A:A,AC124,Eksplikatsioon!C:C,Tabelid!E112))</f>
        <v/>
      </c>
      <c r="AC124" s="23" t="str">
        <f>AC123</f>
        <v/>
      </c>
    </row>
    <row r="125" spans="1:29" x14ac:dyDescent="0.25">
      <c r="A125" s="21" t="str">
        <f>IF(A124="","",Tabelid!D113)</f>
        <v/>
      </c>
      <c r="B125" s="51" t="str">
        <f>IF(A125="","",SUMIFS(Eksplikatsioon!F:F,Eksplikatsioon!A:A,AC125,Eksplikatsioon!C:C,Tabelid!E113))</f>
        <v/>
      </c>
      <c r="AC125" s="23" t="str">
        <f t="shared" ref="AC125:AC132" si="11">AC124</f>
        <v/>
      </c>
    </row>
    <row r="126" spans="1:29" x14ac:dyDescent="0.25">
      <c r="A126" s="21" t="str">
        <f>IF(A125="","",Tabelid!D114)</f>
        <v/>
      </c>
      <c r="B126" s="51" t="str">
        <f>IF(A126="","",SUMIFS(Eksplikatsioon!F:F,Eksplikatsioon!A:A,AC126,Eksplikatsioon!C:C,Tabelid!E114))</f>
        <v/>
      </c>
      <c r="AC126" s="23" t="str">
        <f t="shared" si="11"/>
        <v/>
      </c>
    </row>
    <row r="127" spans="1:29" x14ac:dyDescent="0.25">
      <c r="A127" s="21" t="str">
        <f>IF(A126="","",Tabelid!D115)</f>
        <v/>
      </c>
      <c r="B127" s="51" t="str">
        <f>IF(A127="","",SUM(B124:B126)+B132)</f>
        <v/>
      </c>
      <c r="AC127" s="23" t="str">
        <f t="shared" si="11"/>
        <v/>
      </c>
    </row>
    <row r="128" spans="1:29" x14ac:dyDescent="0.25">
      <c r="A128" s="21" t="str">
        <f>IF(A127="","",Tabelid!D116)</f>
        <v/>
      </c>
      <c r="B128" s="51" t="str">
        <f>IF(A128="","",SUMIFS(Eksplikatsioon!G:G,Eksplikatsioon!A:A,AC128))</f>
        <v/>
      </c>
      <c r="AC128" s="23" t="str">
        <f>AC127</f>
        <v/>
      </c>
    </row>
    <row r="129" spans="1:29" x14ac:dyDescent="0.2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2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25">
      <c r="A131" s="21" t="str">
        <f>IF(A130="","",Tabelid!D119)</f>
        <v/>
      </c>
      <c r="B131" s="51" t="str">
        <f>IF(A131="","",SUMIFS(Eksplikatsioon!F:F,Eksplikatsioon!A:A,AC131,Eksplikatsioon!C:C,Tabelid!E119))</f>
        <v/>
      </c>
      <c r="AC131" s="23" t="str">
        <f t="shared" si="11"/>
        <v/>
      </c>
    </row>
    <row r="132" spans="1:29" x14ac:dyDescent="0.25">
      <c r="A132" s="21" t="str">
        <f>IF(A131="","",Tabelid!D120)</f>
        <v/>
      </c>
      <c r="B132" s="51" t="str">
        <f>IF(A132="","",SUMIFS(Eksplikatsioon!F:F,Eksplikatsioon!A:A,AC132,Eksplikatsioon!C:C,Tabelid!E120))</f>
        <v/>
      </c>
      <c r="AC132" s="23" t="str">
        <f t="shared" si="11"/>
        <v/>
      </c>
    </row>
    <row r="133" spans="1:29" x14ac:dyDescent="0.25">
      <c r="A133" s="10" t="str">
        <f>IF(COUNTIF(Tabelid!G:G,TRUE)/10-Tabelid!H121&gt;0,MIN(Tabelid!F:F)+Tabelid!H121&amp;"."&amp;" Korrus","")</f>
        <v/>
      </c>
      <c r="AC133" s="23" t="str">
        <f>IFERROR(IF(FIND(".",A133)=3,LEFT(A133,2),LEFT(A133,1))*1,"")</f>
        <v/>
      </c>
    </row>
    <row r="134" spans="1:29" x14ac:dyDescent="0.25">
      <c r="A134" s="21" t="str">
        <f>IF(A133="","",Tabelid!D122)</f>
        <v/>
      </c>
      <c r="B134" s="51" t="str">
        <f>IF(A134="","",SUMIFS(Eksplikatsioon!F:F,Eksplikatsioon!A:A,AC134,Eksplikatsioon!C:C,Tabelid!E122))</f>
        <v/>
      </c>
      <c r="AC134" s="23" t="str">
        <f>AC133</f>
        <v/>
      </c>
    </row>
    <row r="135" spans="1:29" x14ac:dyDescent="0.25">
      <c r="A135" s="21" t="str">
        <f>IF(A134="","",Tabelid!D123)</f>
        <v/>
      </c>
      <c r="B135" s="51" t="str">
        <f>IF(A135="","",SUMIFS(Eksplikatsioon!F:F,Eksplikatsioon!A:A,AC135,Eksplikatsioon!C:C,Tabelid!E123))</f>
        <v/>
      </c>
      <c r="AC135" s="23" t="str">
        <f t="shared" ref="AC135:AC142" si="12">AC134</f>
        <v/>
      </c>
    </row>
    <row r="136" spans="1:29" x14ac:dyDescent="0.25">
      <c r="A136" s="21" t="str">
        <f>IF(A135="","",Tabelid!D124)</f>
        <v/>
      </c>
      <c r="B136" s="51" t="str">
        <f>IF(A136="","",SUMIFS(Eksplikatsioon!F:F,Eksplikatsioon!A:A,AC136,Eksplikatsioon!C:C,Tabelid!E124))</f>
        <v/>
      </c>
      <c r="AC136" s="23" t="str">
        <f t="shared" si="12"/>
        <v/>
      </c>
    </row>
    <row r="137" spans="1:29" x14ac:dyDescent="0.25">
      <c r="A137" s="21" t="str">
        <f>IF(A136="","",Tabelid!D125)</f>
        <v/>
      </c>
      <c r="B137" s="51" t="str">
        <f>IF(A137="","",SUM(B134:B136)+B142)</f>
        <v/>
      </c>
      <c r="AC137" s="23" t="str">
        <f t="shared" si="12"/>
        <v/>
      </c>
    </row>
    <row r="138" spans="1:29" x14ac:dyDescent="0.25">
      <c r="A138" s="21" t="str">
        <f>IF(A137="","",Tabelid!D126)</f>
        <v/>
      </c>
      <c r="B138" s="51" t="str">
        <f>IF(A138="","",SUMIFS(Eksplikatsioon!G:G,Eksplikatsioon!A:A,AC138))</f>
        <v/>
      </c>
      <c r="AC138" s="23" t="str">
        <f>AC137</f>
        <v/>
      </c>
    </row>
    <row r="139" spans="1:29" x14ac:dyDescent="0.2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2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25">
      <c r="A141" s="21" t="str">
        <f>IF(A140="","",Tabelid!D129)</f>
        <v/>
      </c>
      <c r="B141" s="51" t="str">
        <f>IF(A141="","",SUMIFS(Eksplikatsioon!F:F,Eksplikatsioon!A:A,AC141,Eksplikatsioon!C:C,Tabelid!E129))</f>
        <v/>
      </c>
      <c r="AC141" s="23" t="str">
        <f t="shared" si="12"/>
        <v/>
      </c>
    </row>
    <row r="142" spans="1:29" x14ac:dyDescent="0.25">
      <c r="A142" s="21" t="str">
        <f>IF(A141="","",Tabelid!D130)</f>
        <v/>
      </c>
      <c r="B142" s="51" t="str">
        <f>IF(A142="","",SUMIFS(Eksplikatsioon!F:F,Eksplikatsioon!A:A,AC142,Eksplikatsioon!C:C,Tabelid!E130))</f>
        <v/>
      </c>
      <c r="AC142" s="23" t="str">
        <f t="shared" si="12"/>
        <v/>
      </c>
    </row>
    <row r="143" spans="1:29" x14ac:dyDescent="0.25">
      <c r="A143" s="10" t="str">
        <f>IF(COUNTIF(Tabelid!G:G,TRUE)/10-Tabelid!H131&gt;0,MIN(Tabelid!F:F)+Tabelid!H131&amp;"."&amp;" Korrus","")</f>
        <v/>
      </c>
      <c r="AC143" s="23" t="str">
        <f>IFERROR(IF(FIND(".",A143)=3,LEFT(A143,2),LEFT(A143,1))*1,"")</f>
        <v/>
      </c>
    </row>
    <row r="144" spans="1:29" x14ac:dyDescent="0.25">
      <c r="A144" s="21" t="str">
        <f>IF(A143="","",Tabelid!D132)</f>
        <v/>
      </c>
      <c r="B144" s="51" t="str">
        <f>IF(A144="","",SUMIFS(Eksplikatsioon!F:F,Eksplikatsioon!A:A,AC144,Eksplikatsioon!C:C,Tabelid!E132))</f>
        <v/>
      </c>
      <c r="AC144" s="23" t="str">
        <f>AC143</f>
        <v/>
      </c>
    </row>
    <row r="145" spans="1:29" x14ac:dyDescent="0.25">
      <c r="A145" s="21" t="str">
        <f>IF(A144="","",Tabelid!D133)</f>
        <v/>
      </c>
      <c r="B145" s="51" t="str">
        <f>IF(A145="","",SUMIFS(Eksplikatsioon!F:F,Eksplikatsioon!A:A,AC145,Eksplikatsioon!C:C,Tabelid!E133))</f>
        <v/>
      </c>
      <c r="AC145" s="23" t="str">
        <f t="shared" ref="AC145:AC152" si="13">AC144</f>
        <v/>
      </c>
    </row>
    <row r="146" spans="1:29" x14ac:dyDescent="0.25">
      <c r="A146" s="21" t="str">
        <f>IF(A145="","",Tabelid!D134)</f>
        <v/>
      </c>
      <c r="B146" s="51" t="str">
        <f>IF(A146="","",SUMIFS(Eksplikatsioon!F:F,Eksplikatsioon!A:A,AC146,Eksplikatsioon!C:C,Tabelid!E134))</f>
        <v/>
      </c>
      <c r="AC146" s="23" t="str">
        <f t="shared" si="13"/>
        <v/>
      </c>
    </row>
    <row r="147" spans="1:29" x14ac:dyDescent="0.25">
      <c r="A147" s="21" t="str">
        <f>IF(A146="","",Tabelid!D135)</f>
        <v/>
      </c>
      <c r="B147" s="51" t="str">
        <f>IF(A147="","",SUM(B144:B146)+B152)</f>
        <v/>
      </c>
      <c r="AC147" s="23" t="str">
        <f t="shared" si="13"/>
        <v/>
      </c>
    </row>
    <row r="148" spans="1:29" x14ac:dyDescent="0.25">
      <c r="A148" s="21" t="str">
        <f>IF(A147="","",Tabelid!D136)</f>
        <v/>
      </c>
      <c r="B148" s="51" t="str">
        <f>IF(A148="","",SUMIFS(Eksplikatsioon!G:G,Eksplikatsioon!A:A,AC148))</f>
        <v/>
      </c>
      <c r="AC148" s="23" t="str">
        <f>AC147</f>
        <v/>
      </c>
    </row>
    <row r="149" spans="1:29" x14ac:dyDescent="0.2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2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25">
      <c r="A151" s="21" t="str">
        <f>IF(A150="","",Tabelid!D139)</f>
        <v/>
      </c>
      <c r="B151" s="51" t="str">
        <f>IF(A151="","",SUMIFS(Eksplikatsioon!F:F,Eksplikatsioon!A:A,AC151,Eksplikatsioon!C:C,Tabelid!E139))</f>
        <v/>
      </c>
      <c r="AC151" s="23" t="str">
        <f t="shared" si="13"/>
        <v/>
      </c>
    </row>
    <row r="152" spans="1:29" x14ac:dyDescent="0.25">
      <c r="A152" s="21" t="str">
        <f>IF(A151="","",Tabelid!D140)</f>
        <v/>
      </c>
      <c r="B152" s="51" t="str">
        <f>IF(A152="","",SUMIFS(Eksplikatsioon!F:F,Eksplikatsioon!A:A,AC152,Eksplikatsioon!C:C,Tabelid!E140))</f>
        <v/>
      </c>
      <c r="AC152" s="23" t="str">
        <f t="shared" si="13"/>
        <v/>
      </c>
    </row>
    <row r="153" spans="1:29" x14ac:dyDescent="0.25">
      <c r="A153" s="10" t="str">
        <f>IF(COUNTIF(Tabelid!G:G,TRUE)/10-Tabelid!H141&gt;0,MIN(Tabelid!F:F)+Tabelid!H141&amp;"."&amp;" Korrus","")</f>
        <v/>
      </c>
      <c r="AC153" s="23" t="str">
        <f>IFERROR(IF(FIND(".",A153)=3,LEFT(A153,2),LEFT(A153,1))*1,"")</f>
        <v/>
      </c>
    </row>
    <row r="154" spans="1:29" x14ac:dyDescent="0.25">
      <c r="A154" s="21" t="str">
        <f>IF(A153="","",Tabelid!D142)</f>
        <v/>
      </c>
      <c r="B154" s="51" t="str">
        <f>IF(A154="","",SUMIFS(Eksplikatsioon!F:F,Eksplikatsioon!A:A,AC154,Eksplikatsioon!C:C,Tabelid!E142))</f>
        <v/>
      </c>
      <c r="AC154" s="23" t="str">
        <f>AC153</f>
        <v/>
      </c>
    </row>
    <row r="155" spans="1:29" x14ac:dyDescent="0.25">
      <c r="A155" s="21" t="str">
        <f>IF(A154="","",Tabelid!D143)</f>
        <v/>
      </c>
      <c r="B155" s="51" t="str">
        <f>IF(A155="","",SUMIFS(Eksplikatsioon!F:F,Eksplikatsioon!A:A,AC155,Eksplikatsioon!C:C,Tabelid!E143))</f>
        <v/>
      </c>
      <c r="AC155" s="23" t="str">
        <f t="shared" ref="AC155:AC162" si="14">AC154</f>
        <v/>
      </c>
    </row>
    <row r="156" spans="1:29" x14ac:dyDescent="0.25">
      <c r="A156" s="21" t="str">
        <f>IF(A155="","",Tabelid!D144)</f>
        <v/>
      </c>
      <c r="B156" s="51" t="str">
        <f>IF(A156="","",SUMIFS(Eksplikatsioon!F:F,Eksplikatsioon!A:A,AC156,Eksplikatsioon!C:C,Tabelid!E144))</f>
        <v/>
      </c>
      <c r="AC156" s="23" t="str">
        <f t="shared" si="14"/>
        <v/>
      </c>
    </row>
    <row r="157" spans="1:29" x14ac:dyDescent="0.25">
      <c r="A157" s="21" t="str">
        <f>IF(A156="","",Tabelid!D145)</f>
        <v/>
      </c>
      <c r="B157" s="51" t="str">
        <f>IF(A157="","",SUM(B154:B156)+B162)</f>
        <v/>
      </c>
      <c r="AC157" s="23" t="str">
        <f t="shared" si="14"/>
        <v/>
      </c>
    </row>
    <row r="158" spans="1:29" x14ac:dyDescent="0.25">
      <c r="A158" s="21" t="str">
        <f>IF(A157="","",Tabelid!D146)</f>
        <v/>
      </c>
      <c r="B158" s="51" t="str">
        <f>IF(A158="","",SUMIFS(Eksplikatsioon!G:G,Eksplikatsioon!A:A,AC158))</f>
        <v/>
      </c>
      <c r="AC158" s="23" t="str">
        <f>AC157</f>
        <v/>
      </c>
    </row>
    <row r="159" spans="1:29" x14ac:dyDescent="0.2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2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25">
      <c r="A161" s="21" t="str">
        <f>IF(A160="","",Tabelid!D149)</f>
        <v/>
      </c>
      <c r="B161" s="51" t="str">
        <f>IF(A161="","",SUMIFS(Eksplikatsioon!F:F,Eksplikatsioon!A:A,AC161,Eksplikatsioon!C:C,Tabelid!E149))</f>
        <v/>
      </c>
      <c r="AC161" s="23" t="str">
        <f t="shared" si="14"/>
        <v/>
      </c>
    </row>
    <row r="162" spans="1:29" x14ac:dyDescent="0.25">
      <c r="A162" s="21" t="str">
        <f>IF(A161="","",Tabelid!D150)</f>
        <v/>
      </c>
      <c r="B162" s="51" t="str">
        <f>IF(A162="","",SUMIFS(Eksplikatsioon!F:F,Eksplikatsioon!A:A,AC162,Eksplikatsioon!C:C,Tabelid!E150))</f>
        <v/>
      </c>
      <c r="AC162" s="23" t="str">
        <f t="shared" si="14"/>
        <v/>
      </c>
    </row>
    <row r="163" spans="1:29" x14ac:dyDescent="0.25">
      <c r="A163" s="10" t="str">
        <f>IF(COUNTIF(Tabelid!G:G,TRUE)/10-Tabelid!H151&gt;0,MIN(Tabelid!F:F)+Tabelid!H151&amp;"."&amp;" Korrus","")</f>
        <v/>
      </c>
      <c r="AC163" s="23" t="str">
        <f>IFERROR(IF(FIND(".",A163)=3,LEFT(A163,2),LEFT(A163,1))*1,"")</f>
        <v/>
      </c>
    </row>
    <row r="164" spans="1:29" x14ac:dyDescent="0.25">
      <c r="A164" s="21" t="str">
        <f>IF(A163="","",Tabelid!D152)</f>
        <v/>
      </c>
      <c r="B164" s="51" t="str">
        <f>IF(A164="","",SUMIFS(Eksplikatsioon!F:F,Eksplikatsioon!A:A,AC164,Eksplikatsioon!C:C,Tabelid!E152))</f>
        <v/>
      </c>
      <c r="AC164" s="23" t="str">
        <f>AC163</f>
        <v/>
      </c>
    </row>
    <row r="165" spans="1:29" x14ac:dyDescent="0.25">
      <c r="A165" s="21" t="str">
        <f>IF(A164="","",Tabelid!D153)</f>
        <v/>
      </c>
      <c r="B165" s="51" t="str">
        <f>IF(A165="","",SUMIFS(Eksplikatsioon!F:F,Eksplikatsioon!A:A,AC165,Eksplikatsioon!C:C,Tabelid!E153))</f>
        <v/>
      </c>
      <c r="AC165" s="23" t="str">
        <f t="shared" ref="AC165:AC172" si="15">AC164</f>
        <v/>
      </c>
    </row>
    <row r="166" spans="1:29" x14ac:dyDescent="0.25">
      <c r="A166" s="21" t="str">
        <f>IF(A165="","",Tabelid!D154)</f>
        <v/>
      </c>
      <c r="B166" s="51" t="str">
        <f>IF(A166="","",SUMIFS(Eksplikatsioon!F:F,Eksplikatsioon!A:A,AC166,Eksplikatsioon!C:C,Tabelid!E154))</f>
        <v/>
      </c>
      <c r="AC166" s="23" t="str">
        <f t="shared" si="15"/>
        <v/>
      </c>
    </row>
    <row r="167" spans="1:29" x14ac:dyDescent="0.25">
      <c r="A167" s="21" t="str">
        <f>IF(A166="","",Tabelid!D155)</f>
        <v/>
      </c>
      <c r="B167" s="51" t="str">
        <f>IF(A167="","",SUM(B164:B166)+B172)</f>
        <v/>
      </c>
      <c r="AC167" s="23" t="str">
        <f t="shared" si="15"/>
        <v/>
      </c>
    </row>
    <row r="168" spans="1:29" x14ac:dyDescent="0.25">
      <c r="A168" s="21" t="str">
        <f>IF(A167="","",Tabelid!D156)</f>
        <v/>
      </c>
      <c r="B168" s="51" t="str">
        <f>IF(A168="","",SUMIFS(Eksplikatsioon!G:G,Eksplikatsioon!A:A,AC168))</f>
        <v/>
      </c>
      <c r="AC168" s="23" t="str">
        <f>AC167</f>
        <v/>
      </c>
    </row>
    <row r="169" spans="1:29" x14ac:dyDescent="0.2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2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25">
      <c r="A171" s="21" t="str">
        <f>IF(A170="","",Tabelid!D159)</f>
        <v/>
      </c>
      <c r="B171" s="51" t="str">
        <f>IF(A171="","",SUMIFS(Eksplikatsioon!F:F,Eksplikatsioon!A:A,AC171,Eksplikatsioon!C:C,Tabelid!E159))</f>
        <v/>
      </c>
      <c r="AC171" s="23" t="str">
        <f t="shared" si="15"/>
        <v/>
      </c>
    </row>
    <row r="172" spans="1:29" x14ac:dyDescent="0.25">
      <c r="A172" s="21" t="str">
        <f>IF(A171="","",Tabelid!D160)</f>
        <v/>
      </c>
      <c r="B172" s="51" t="str">
        <f>IF(A172="","",SUMIFS(Eksplikatsioon!F:F,Eksplikatsioon!A:A,AC172,Eksplikatsioon!C:C,Tabelid!E160))</f>
        <v/>
      </c>
      <c r="AC172" s="23" t="str">
        <f t="shared" si="15"/>
        <v/>
      </c>
    </row>
    <row r="173" spans="1:29" x14ac:dyDescent="0.25">
      <c r="A173" s="10" t="str">
        <f>IF(COUNTIF(Tabelid!G:G,TRUE)/10-Tabelid!H161&gt;0,MIN(Tabelid!F:F)+Tabelid!H161&amp;"."&amp;" Korrus","")</f>
        <v/>
      </c>
      <c r="AC173" s="23" t="str">
        <f>IFERROR(IF(FIND(".",A173)=3,LEFT(A173,2),LEFT(A173,1))*1,"")</f>
        <v/>
      </c>
    </row>
    <row r="174" spans="1:29" x14ac:dyDescent="0.25">
      <c r="A174" s="21" t="str">
        <f>IF(A173="","",Tabelid!D162)</f>
        <v/>
      </c>
      <c r="B174" s="51" t="str">
        <f>IF(A174="","",SUMIFS(Eksplikatsioon!F:F,Eksplikatsioon!A:A,AC174,Eksplikatsioon!C:C,Tabelid!E162))</f>
        <v/>
      </c>
      <c r="AC174" s="23" t="str">
        <f>AC173</f>
        <v/>
      </c>
    </row>
    <row r="175" spans="1:29" x14ac:dyDescent="0.25">
      <c r="A175" s="21" t="str">
        <f>IF(A174="","",Tabelid!D163)</f>
        <v/>
      </c>
      <c r="B175" s="51" t="str">
        <f>IF(A175="","",SUMIFS(Eksplikatsioon!F:F,Eksplikatsioon!A:A,AC175,Eksplikatsioon!C:C,Tabelid!E163))</f>
        <v/>
      </c>
      <c r="AC175" s="23" t="str">
        <f t="shared" ref="AC175:AC182" si="16">AC174</f>
        <v/>
      </c>
    </row>
    <row r="176" spans="1:29" x14ac:dyDescent="0.25">
      <c r="A176" s="21" t="str">
        <f>IF(A175="","",Tabelid!D164)</f>
        <v/>
      </c>
      <c r="B176" s="51" t="str">
        <f>IF(A176="","",SUMIFS(Eksplikatsioon!F:F,Eksplikatsioon!A:A,AC176,Eksplikatsioon!C:C,Tabelid!E164))</f>
        <v/>
      </c>
      <c r="AC176" s="23" t="str">
        <f t="shared" si="16"/>
        <v/>
      </c>
    </row>
    <row r="177" spans="1:29" x14ac:dyDescent="0.25">
      <c r="A177" s="21" t="str">
        <f>IF(A176="","",Tabelid!D165)</f>
        <v/>
      </c>
      <c r="B177" s="51" t="str">
        <f>IF(A177="","",SUM(B174:B176)+B182)</f>
        <v/>
      </c>
      <c r="AC177" s="23" t="str">
        <f t="shared" si="16"/>
        <v/>
      </c>
    </row>
    <row r="178" spans="1:29" x14ac:dyDescent="0.25">
      <c r="A178" s="21" t="str">
        <f>IF(A177="","",Tabelid!D166)</f>
        <v/>
      </c>
      <c r="B178" s="51" t="str">
        <f>IF(A178="","",SUMIFS(Eksplikatsioon!G:G,Eksplikatsioon!A:A,AC178))</f>
        <v/>
      </c>
      <c r="AC178" s="23" t="str">
        <f>AC177</f>
        <v/>
      </c>
    </row>
    <row r="179" spans="1:29" x14ac:dyDescent="0.2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2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25">
      <c r="A181" s="21" t="str">
        <f>IF(A180="","",Tabelid!D169)</f>
        <v/>
      </c>
      <c r="B181" s="51" t="str">
        <f>IF(A181="","",SUMIFS(Eksplikatsioon!F:F,Eksplikatsioon!A:A,AC181,Eksplikatsioon!C:C,Tabelid!E169))</f>
        <v/>
      </c>
      <c r="AC181" s="23" t="str">
        <f t="shared" si="16"/>
        <v/>
      </c>
    </row>
    <row r="182" spans="1:29" x14ac:dyDescent="0.25">
      <c r="A182" s="21" t="str">
        <f>IF(A181="","",Tabelid!D170)</f>
        <v/>
      </c>
      <c r="B182" s="51" t="str">
        <f>IF(A182="","",SUMIFS(Eksplikatsioon!F:F,Eksplikatsioon!A:A,AC182,Eksplikatsioon!C:C,Tabelid!E170))</f>
        <v/>
      </c>
      <c r="AC182" s="23" t="str">
        <f t="shared" si="16"/>
        <v/>
      </c>
    </row>
    <row r="183" spans="1:29" x14ac:dyDescent="0.25">
      <c r="A183" s="10" t="str">
        <f>IF(COUNTIF(Tabelid!G:G,TRUE)/10-Tabelid!H171&gt;0,MIN(Tabelid!F:F)+Tabelid!H171&amp;"."&amp;" Korrus","")</f>
        <v/>
      </c>
      <c r="AC183" s="23" t="str">
        <f>IFERROR(IF(FIND(".",A183)=3,LEFT(A183,2),LEFT(A183,1))*1,"")</f>
        <v/>
      </c>
    </row>
    <row r="184" spans="1:29" x14ac:dyDescent="0.25">
      <c r="A184" s="21" t="str">
        <f>IF(A183="","",Tabelid!D172)</f>
        <v/>
      </c>
      <c r="B184" s="51" t="str">
        <f>IF(A184="","",SUMIFS(Eksplikatsioon!F:F,Eksplikatsioon!A:A,AC184,Eksplikatsioon!C:C,Tabelid!E172))</f>
        <v/>
      </c>
      <c r="AC184" s="23" t="str">
        <f>AC183</f>
        <v/>
      </c>
    </row>
    <row r="185" spans="1:29" x14ac:dyDescent="0.25">
      <c r="A185" s="21" t="str">
        <f>IF(A184="","",Tabelid!D173)</f>
        <v/>
      </c>
      <c r="B185" s="51" t="str">
        <f>IF(A185="","",SUMIFS(Eksplikatsioon!F:F,Eksplikatsioon!A:A,AC185,Eksplikatsioon!C:C,Tabelid!E173))</f>
        <v/>
      </c>
      <c r="AC185" s="23" t="str">
        <f t="shared" ref="AC185:AC192" si="17">AC184</f>
        <v/>
      </c>
    </row>
    <row r="186" spans="1:29" x14ac:dyDescent="0.25">
      <c r="A186" s="21" t="str">
        <f>IF(A185="","",Tabelid!D174)</f>
        <v/>
      </c>
      <c r="B186" s="51" t="str">
        <f>IF(A186="","",SUMIFS(Eksplikatsioon!F:F,Eksplikatsioon!A:A,AC186,Eksplikatsioon!C:C,Tabelid!E174))</f>
        <v/>
      </c>
      <c r="AC186" s="23" t="str">
        <f t="shared" si="17"/>
        <v/>
      </c>
    </row>
    <row r="187" spans="1:29" x14ac:dyDescent="0.25">
      <c r="A187" s="21" t="str">
        <f>IF(A186="","",Tabelid!D175)</f>
        <v/>
      </c>
      <c r="B187" s="51" t="str">
        <f>IF(A187="","",SUM(B184:B186)+B192)</f>
        <v/>
      </c>
      <c r="AC187" s="23" t="str">
        <f t="shared" si="17"/>
        <v/>
      </c>
    </row>
    <row r="188" spans="1:29" x14ac:dyDescent="0.25">
      <c r="A188" s="21" t="str">
        <f>IF(A187="","",Tabelid!D176)</f>
        <v/>
      </c>
      <c r="B188" s="51" t="str">
        <f>IF(A188="","",SUMIFS(Eksplikatsioon!G:G,Eksplikatsioon!A:A,AC188))</f>
        <v/>
      </c>
      <c r="AC188" s="23" t="str">
        <f>AC187</f>
        <v/>
      </c>
    </row>
    <row r="189" spans="1:29" x14ac:dyDescent="0.2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2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25">
      <c r="A191" s="21" t="str">
        <f>IF(A190="","",Tabelid!D179)</f>
        <v/>
      </c>
      <c r="B191" s="51" t="str">
        <f>IF(A191="","",SUMIFS(Eksplikatsioon!F:F,Eksplikatsioon!A:A,AC191,Eksplikatsioon!C:C,Tabelid!E179))</f>
        <v/>
      </c>
      <c r="AC191" s="23" t="str">
        <f t="shared" si="17"/>
        <v/>
      </c>
    </row>
    <row r="192" spans="1:29" x14ac:dyDescent="0.25">
      <c r="A192" s="21" t="str">
        <f>IF(A191="","",Tabelid!D180)</f>
        <v/>
      </c>
      <c r="B192" s="51" t="str">
        <f>IF(A192="","",SUMIFS(Eksplikatsioon!F:F,Eksplikatsioon!A:A,AC192,Eksplikatsioon!C:C,Tabelid!E180))</f>
        <v/>
      </c>
      <c r="AC192" s="23" t="str">
        <f t="shared" si="17"/>
        <v/>
      </c>
    </row>
    <row r="193" spans="1:29" x14ac:dyDescent="0.25">
      <c r="A193" s="10" t="str">
        <f>IF(COUNTIF(Tabelid!G:G,TRUE)/10-Tabelid!H181&gt;0,MIN(Tabelid!F:F)+Tabelid!H181&amp;"."&amp;" Korrus","")</f>
        <v/>
      </c>
      <c r="AC193" s="23" t="str">
        <f>IFERROR(IF(FIND(".",A193)=3,LEFT(A193,2),LEFT(A193,1))*1,"")</f>
        <v/>
      </c>
    </row>
    <row r="194" spans="1:29" x14ac:dyDescent="0.25">
      <c r="A194" s="21" t="str">
        <f>IF(A193="","",Tabelid!D182)</f>
        <v/>
      </c>
      <c r="B194" s="51" t="str">
        <f>IF(A194="","",SUMIFS(Eksplikatsioon!F:F,Eksplikatsioon!A:A,AC194,Eksplikatsioon!C:C,Tabelid!E182))</f>
        <v/>
      </c>
      <c r="AC194" s="23" t="str">
        <f>AC193</f>
        <v/>
      </c>
    </row>
    <row r="195" spans="1:29" x14ac:dyDescent="0.25">
      <c r="A195" s="21" t="str">
        <f>IF(A194="","",Tabelid!D183)</f>
        <v/>
      </c>
      <c r="B195" s="51" t="str">
        <f>IF(A195="","",SUMIFS(Eksplikatsioon!F:F,Eksplikatsioon!A:A,AC195,Eksplikatsioon!C:C,Tabelid!E183))</f>
        <v/>
      </c>
      <c r="AC195" s="23" t="str">
        <f t="shared" ref="AC195:AC202" si="18">AC194</f>
        <v/>
      </c>
    </row>
    <row r="196" spans="1:29" x14ac:dyDescent="0.25">
      <c r="A196" s="21" t="str">
        <f>IF(A195="","",Tabelid!D184)</f>
        <v/>
      </c>
      <c r="B196" s="51" t="str">
        <f>IF(A196="","",SUMIFS(Eksplikatsioon!F:F,Eksplikatsioon!A:A,AC196,Eksplikatsioon!C:C,Tabelid!E184))</f>
        <v/>
      </c>
      <c r="AC196" s="23" t="str">
        <f t="shared" si="18"/>
        <v/>
      </c>
    </row>
    <row r="197" spans="1:29" x14ac:dyDescent="0.25">
      <c r="A197" s="21" t="str">
        <f>IF(A196="","",Tabelid!D185)</f>
        <v/>
      </c>
      <c r="B197" s="51" t="str">
        <f>IF(A197="","",SUM(B194:B196)+B202)</f>
        <v/>
      </c>
      <c r="AC197" s="23" t="str">
        <f t="shared" si="18"/>
        <v/>
      </c>
    </row>
    <row r="198" spans="1:29" x14ac:dyDescent="0.25">
      <c r="A198" s="21" t="str">
        <f>IF(A197="","",Tabelid!D186)</f>
        <v/>
      </c>
      <c r="B198" s="51" t="str">
        <f>IF(A198="","",SUMIFS(Eksplikatsioon!G:G,Eksplikatsioon!A:A,AC198))</f>
        <v/>
      </c>
      <c r="AC198" s="23" t="str">
        <f>AC197</f>
        <v/>
      </c>
    </row>
    <row r="199" spans="1:29" x14ac:dyDescent="0.2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2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25">
      <c r="A201" s="21" t="str">
        <f>IF(A200="","",Tabelid!D189)</f>
        <v/>
      </c>
      <c r="B201" s="51" t="str">
        <f>IF(A201="","",SUMIFS(Eksplikatsioon!F:F,Eksplikatsioon!A:A,AC201,Eksplikatsioon!C:C,Tabelid!E189))</f>
        <v/>
      </c>
      <c r="AC201" s="23" t="str">
        <f t="shared" si="18"/>
        <v/>
      </c>
    </row>
    <row r="202" spans="1:29" x14ac:dyDescent="0.25">
      <c r="A202" s="21" t="str">
        <f>IF(A201="","",Tabelid!D190)</f>
        <v/>
      </c>
      <c r="B202" s="51" t="str">
        <f>IF(A202="","",SUMIFS(Eksplikatsioon!F:F,Eksplikatsioon!A:A,AC202,Eksplikatsioon!C:C,Tabelid!E190))</f>
        <v/>
      </c>
      <c r="AC202" s="23" t="str">
        <f t="shared" si="18"/>
        <v/>
      </c>
    </row>
    <row r="203" spans="1:29" x14ac:dyDescent="0.25">
      <c r="A203" s="10" t="str">
        <f>IF(COUNTIF(Tabelid!G:G,TRUE)/10-Tabelid!H191&gt;0,MIN(Tabelid!F:F)+Tabelid!H191&amp;"."&amp;" Korrus","")</f>
        <v/>
      </c>
      <c r="AC203" s="23" t="str">
        <f>IFERROR(IF(FIND(".",A203)=3,LEFT(A203,2),LEFT(A203,1))*1,"")</f>
        <v/>
      </c>
    </row>
    <row r="204" spans="1:29" x14ac:dyDescent="0.25">
      <c r="A204" s="21" t="str">
        <f>IF(A203="","",Tabelid!D192)</f>
        <v/>
      </c>
      <c r="B204" s="51" t="str">
        <f>IF(A204="","",SUMIFS(Eksplikatsioon!F:F,Eksplikatsioon!A:A,AC204,Eksplikatsioon!C:C,Tabelid!E192))</f>
        <v/>
      </c>
      <c r="AC204" s="23" t="str">
        <f>AC203</f>
        <v/>
      </c>
    </row>
    <row r="205" spans="1:29" x14ac:dyDescent="0.25">
      <c r="A205" s="21" t="str">
        <f>IF(A204="","",Tabelid!D193)</f>
        <v/>
      </c>
      <c r="B205" s="51" t="str">
        <f>IF(A205="","",SUMIFS(Eksplikatsioon!F:F,Eksplikatsioon!A:A,AC205,Eksplikatsioon!C:C,Tabelid!E193))</f>
        <v/>
      </c>
      <c r="AC205" s="23" t="str">
        <f t="shared" ref="AC205:AC212" si="19">AC204</f>
        <v/>
      </c>
    </row>
    <row r="206" spans="1:29" x14ac:dyDescent="0.25">
      <c r="A206" s="21" t="str">
        <f>IF(A205="","",Tabelid!D194)</f>
        <v/>
      </c>
      <c r="B206" s="51" t="str">
        <f>IF(A206="","",SUMIFS(Eksplikatsioon!F:F,Eksplikatsioon!A:A,AC206,Eksplikatsioon!C:C,Tabelid!E194))</f>
        <v/>
      </c>
      <c r="AC206" s="23" t="str">
        <f t="shared" si="19"/>
        <v/>
      </c>
    </row>
    <row r="207" spans="1:29" x14ac:dyDescent="0.25">
      <c r="A207" s="21" t="str">
        <f>IF(A206="","",Tabelid!D195)</f>
        <v/>
      </c>
      <c r="B207" s="51" t="str">
        <f>IF(A207="","",SUM(B204:B206)+B212)</f>
        <v/>
      </c>
      <c r="AC207" s="23" t="str">
        <f t="shared" si="19"/>
        <v/>
      </c>
    </row>
    <row r="208" spans="1:29" x14ac:dyDescent="0.25">
      <c r="A208" s="21" t="str">
        <f>IF(A207="","",Tabelid!D196)</f>
        <v/>
      </c>
      <c r="B208" s="51" t="str">
        <f>IF(A208="","",SUMIFS(Eksplikatsioon!G:G,Eksplikatsioon!A:A,AC208))</f>
        <v/>
      </c>
      <c r="AC208" s="23" t="str">
        <f>AC207</f>
        <v/>
      </c>
    </row>
    <row r="209" spans="1:29" x14ac:dyDescent="0.2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2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25">
      <c r="A211" s="21" t="str">
        <f>IF(A210="","",Tabelid!D199)</f>
        <v/>
      </c>
      <c r="B211" s="51" t="str">
        <f>IF(A211="","",SUMIFS(Eksplikatsioon!F:F,Eksplikatsioon!A:A,AC211,Eksplikatsioon!C:C,Tabelid!E199))</f>
        <v/>
      </c>
      <c r="AC211" s="23" t="str">
        <f t="shared" si="19"/>
        <v/>
      </c>
    </row>
    <row r="212" spans="1:29" x14ac:dyDescent="0.25">
      <c r="A212" s="21" t="str">
        <f>IF(A211="","",Tabelid!D200)</f>
        <v/>
      </c>
      <c r="B212" s="51" t="str">
        <f>IF(A212="","",SUMIFS(Eksplikatsioon!F:F,Eksplikatsioon!A:A,AC212,Eksplikatsioon!C:C,Tabelid!E200))</f>
        <v/>
      </c>
      <c r="AC212" s="23" t="str">
        <f t="shared" si="19"/>
        <v/>
      </c>
    </row>
    <row r="213" spans="1:29" x14ac:dyDescent="0.25">
      <c r="A213" s="10" t="str">
        <f>IF(COUNTIF(Tabelid!G:G,TRUE)/10-Tabelid!H201&gt;0,MIN(Tabelid!F:F)+Tabelid!H201&amp;"."&amp;" Korrus","")</f>
        <v/>
      </c>
      <c r="AC213" s="23" t="str">
        <f>IFERROR(IF(FIND(".",A213)=3,LEFT(A213,2),LEFT(A213,1))*1,"")</f>
        <v/>
      </c>
    </row>
    <row r="214" spans="1:29" x14ac:dyDescent="0.25">
      <c r="A214" s="21" t="str">
        <f>IF(A213="","",Tabelid!D202)</f>
        <v/>
      </c>
      <c r="B214" s="51" t="str">
        <f>IF(A214="","",SUMIFS(Eksplikatsioon!F:F,Eksplikatsioon!A:A,AC214,Eksplikatsioon!C:C,Tabelid!E202))</f>
        <v/>
      </c>
      <c r="AC214" s="23" t="str">
        <f>AC213</f>
        <v/>
      </c>
    </row>
    <row r="215" spans="1:29" x14ac:dyDescent="0.25">
      <c r="A215" s="21" t="str">
        <f>IF(A214="","",Tabelid!D203)</f>
        <v/>
      </c>
      <c r="B215" s="51" t="str">
        <f>IF(A215="","",SUMIFS(Eksplikatsioon!F:F,Eksplikatsioon!A:A,AC215,Eksplikatsioon!C:C,Tabelid!E203))</f>
        <v/>
      </c>
      <c r="AC215" s="23" t="str">
        <f t="shared" ref="AC215:AC222" si="20">AC214</f>
        <v/>
      </c>
    </row>
    <row r="216" spans="1:29" x14ac:dyDescent="0.25">
      <c r="A216" s="21" t="str">
        <f>IF(A215="","",Tabelid!D204)</f>
        <v/>
      </c>
      <c r="B216" s="51" t="str">
        <f>IF(A216="","",SUMIFS(Eksplikatsioon!F:F,Eksplikatsioon!A:A,AC216,Eksplikatsioon!C:C,Tabelid!E204))</f>
        <v/>
      </c>
      <c r="AC216" s="23" t="str">
        <f t="shared" si="20"/>
        <v/>
      </c>
    </row>
    <row r="217" spans="1:29" x14ac:dyDescent="0.25">
      <c r="A217" s="21" t="str">
        <f>IF(A216="","",Tabelid!D205)</f>
        <v/>
      </c>
      <c r="B217" s="51" t="str">
        <f>IF(A217="","",SUM(B214:B216)+B222)</f>
        <v/>
      </c>
      <c r="AC217" s="23" t="str">
        <f t="shared" si="20"/>
        <v/>
      </c>
    </row>
    <row r="218" spans="1:29" x14ac:dyDescent="0.25">
      <c r="A218" s="21" t="str">
        <f>IF(A217="","",Tabelid!D206)</f>
        <v/>
      </c>
      <c r="B218" s="51" t="str">
        <f>IF(A218="","",SUMIFS(Eksplikatsioon!G:G,Eksplikatsioon!A:A,AC218))</f>
        <v/>
      </c>
      <c r="AC218" s="23" t="str">
        <f>AC217</f>
        <v/>
      </c>
    </row>
    <row r="219" spans="1:29" x14ac:dyDescent="0.2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2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25">
      <c r="A221" s="21" t="str">
        <f>IF(A220="","",Tabelid!D209)</f>
        <v/>
      </c>
      <c r="B221" s="51" t="str">
        <f>IF(A221="","",SUMIFS(Eksplikatsioon!F:F,Eksplikatsioon!A:A,AC221,Eksplikatsioon!C:C,Tabelid!E209))</f>
        <v/>
      </c>
      <c r="AC221" s="23" t="str">
        <f t="shared" si="20"/>
        <v/>
      </c>
    </row>
    <row r="222" spans="1:29" x14ac:dyDescent="0.25">
      <c r="A222" s="21" t="str">
        <f>IF(A221="","",Tabelid!D210)</f>
        <v/>
      </c>
      <c r="B222" s="51" t="str">
        <f>IF(A222="","",SUMIFS(Eksplikatsioon!F:F,Eksplikatsioon!A:A,AC222,Eksplikatsioon!C:C,Tabelid!E210))</f>
        <v/>
      </c>
      <c r="AC222" s="23" t="str">
        <f t="shared" si="20"/>
        <v/>
      </c>
    </row>
    <row r="223" spans="1:29" x14ac:dyDescent="0.25">
      <c r="A223" s="10" t="str">
        <f>IF(COUNTIF(Tabelid!G:G,TRUE)/10-Tabelid!H211&gt;0,MIN(Tabelid!F:F)+Tabelid!H211&amp;"."&amp;" Korrus","")</f>
        <v/>
      </c>
      <c r="AC223" s="23" t="str">
        <f>IFERROR(IF(FIND(".",A223)=3,LEFT(A223,2),LEFT(A223,1))*1,"")</f>
        <v/>
      </c>
    </row>
    <row r="224" spans="1:29" x14ac:dyDescent="0.25">
      <c r="A224" s="21" t="str">
        <f>IF(A223="","",Tabelid!D212)</f>
        <v/>
      </c>
      <c r="B224" s="51" t="str">
        <f>IF(A224="","",SUMIFS(Eksplikatsioon!F:F,Eksplikatsioon!A:A,AC224,Eksplikatsioon!C:C,Tabelid!E212))</f>
        <v/>
      </c>
      <c r="AC224" s="23" t="str">
        <f>AC223</f>
        <v/>
      </c>
    </row>
    <row r="225" spans="1:29" x14ac:dyDescent="0.25">
      <c r="A225" s="21" t="str">
        <f>IF(A224="","",Tabelid!D213)</f>
        <v/>
      </c>
      <c r="B225" s="51" t="str">
        <f>IF(A225="","",SUMIFS(Eksplikatsioon!F:F,Eksplikatsioon!A:A,AC225,Eksplikatsioon!C:C,Tabelid!E213))</f>
        <v/>
      </c>
      <c r="AC225" s="23" t="str">
        <f t="shared" ref="AC225:AC232" si="21">AC224</f>
        <v/>
      </c>
    </row>
    <row r="226" spans="1:29" x14ac:dyDescent="0.25">
      <c r="A226" s="21" t="str">
        <f>IF(A225="","",Tabelid!D214)</f>
        <v/>
      </c>
      <c r="B226" s="51" t="str">
        <f>IF(A226="","",SUMIFS(Eksplikatsioon!F:F,Eksplikatsioon!A:A,AC226,Eksplikatsioon!C:C,Tabelid!E214))</f>
        <v/>
      </c>
      <c r="AC226" s="23" t="str">
        <f t="shared" si="21"/>
        <v/>
      </c>
    </row>
    <row r="227" spans="1:29" x14ac:dyDescent="0.25">
      <c r="A227" s="21" t="str">
        <f>IF(A226="","",Tabelid!D215)</f>
        <v/>
      </c>
      <c r="B227" s="51" t="str">
        <f>IF(A227="","",SUM(B224:B226)+B232)</f>
        <v/>
      </c>
      <c r="AC227" s="23" t="str">
        <f t="shared" si="21"/>
        <v/>
      </c>
    </row>
    <row r="228" spans="1:29" x14ac:dyDescent="0.25">
      <c r="A228" s="21" t="str">
        <f>IF(A227="","",Tabelid!D216)</f>
        <v/>
      </c>
      <c r="B228" s="51" t="str">
        <f>IF(A228="","",SUMIFS(Eksplikatsioon!G:G,Eksplikatsioon!A:A,AC228))</f>
        <v/>
      </c>
      <c r="AC228" s="23" t="str">
        <f>AC227</f>
        <v/>
      </c>
    </row>
    <row r="229" spans="1:29" x14ac:dyDescent="0.2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2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25">
      <c r="A231" s="21" t="str">
        <f>IF(A230="","",Tabelid!D219)</f>
        <v/>
      </c>
      <c r="B231" s="51" t="str">
        <f>IF(A231="","",SUMIFS(Eksplikatsioon!F:F,Eksplikatsioon!A:A,AC231,Eksplikatsioon!C:C,Tabelid!E219))</f>
        <v/>
      </c>
      <c r="AC231" s="23" t="str">
        <f t="shared" si="21"/>
        <v/>
      </c>
    </row>
    <row r="232" spans="1:29" x14ac:dyDescent="0.25">
      <c r="A232" s="21" t="str">
        <f>IF(A231="","",Tabelid!D220)</f>
        <v/>
      </c>
      <c r="B232" s="51" t="str">
        <f>IF(A232="","",SUMIFS(Eksplikatsioon!F:F,Eksplikatsioon!A:A,AC232,Eksplikatsioon!C:C,Tabelid!E220))</f>
        <v/>
      </c>
      <c r="AC232" s="23" t="str">
        <f t="shared" si="21"/>
        <v/>
      </c>
    </row>
    <row r="233" spans="1:29" x14ac:dyDescent="0.25">
      <c r="A233" s="10" t="str">
        <f>IF(COUNTIF(Tabelid!G:G,TRUE)/10-Tabelid!H221&gt;0,MIN(Tabelid!F:F)+Tabelid!H221&amp;"."&amp;" Korrus","")</f>
        <v/>
      </c>
      <c r="AC233" s="23" t="str">
        <f>IFERROR(IF(FIND(".",A233)=3,LEFT(A233,2),LEFT(A233,1))*1,"")</f>
        <v/>
      </c>
    </row>
    <row r="234" spans="1:29" x14ac:dyDescent="0.25">
      <c r="A234" s="21" t="str">
        <f>IF(A233="","",Tabelid!D222)</f>
        <v/>
      </c>
      <c r="B234" s="51" t="str">
        <f>IF(A234="","",SUMIFS(Eksplikatsioon!F:F,Eksplikatsioon!A:A,AC234,Eksplikatsioon!C:C,Tabelid!E222))</f>
        <v/>
      </c>
      <c r="AC234" s="23" t="str">
        <f>AC233</f>
        <v/>
      </c>
    </row>
    <row r="235" spans="1:29" x14ac:dyDescent="0.25">
      <c r="A235" s="21" t="str">
        <f>IF(A234="","",Tabelid!D223)</f>
        <v/>
      </c>
      <c r="B235" s="51" t="str">
        <f>IF(A235="","",SUMIFS(Eksplikatsioon!F:F,Eksplikatsioon!A:A,AC235,Eksplikatsioon!C:C,Tabelid!E223))</f>
        <v/>
      </c>
      <c r="AC235" s="23" t="str">
        <f t="shared" ref="AC235:AC242" si="22">AC234</f>
        <v/>
      </c>
    </row>
    <row r="236" spans="1:29" x14ac:dyDescent="0.25">
      <c r="A236" s="21" t="str">
        <f>IF(A235="","",Tabelid!D224)</f>
        <v/>
      </c>
      <c r="B236" s="51" t="str">
        <f>IF(A236="","",SUMIFS(Eksplikatsioon!F:F,Eksplikatsioon!A:A,AC236,Eksplikatsioon!C:C,Tabelid!E224))</f>
        <v/>
      </c>
      <c r="AC236" s="23" t="str">
        <f t="shared" si="22"/>
        <v/>
      </c>
    </row>
    <row r="237" spans="1:29" x14ac:dyDescent="0.25">
      <c r="A237" s="21" t="str">
        <f>IF(A236="","",Tabelid!D225)</f>
        <v/>
      </c>
      <c r="B237" s="51" t="str">
        <f>IF(A237="","",SUM(B234:B236)+B242)</f>
        <v/>
      </c>
      <c r="AC237" s="23" t="str">
        <f t="shared" si="22"/>
        <v/>
      </c>
    </row>
    <row r="238" spans="1:29" x14ac:dyDescent="0.25">
      <c r="A238" s="21" t="str">
        <f>IF(A237="","",Tabelid!D226)</f>
        <v/>
      </c>
      <c r="B238" s="51" t="str">
        <f>IF(A238="","",SUMIFS(Eksplikatsioon!G:G,Eksplikatsioon!A:A,AC238))</f>
        <v/>
      </c>
      <c r="AC238" s="23" t="str">
        <f>AC237</f>
        <v/>
      </c>
    </row>
    <row r="239" spans="1:29" x14ac:dyDescent="0.2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2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25">
      <c r="A241" s="21" t="str">
        <f>IF(A240="","",Tabelid!D229)</f>
        <v/>
      </c>
      <c r="B241" s="51" t="str">
        <f>IF(A241="","",SUMIFS(Eksplikatsioon!F:F,Eksplikatsioon!A:A,AC241,Eksplikatsioon!C:C,Tabelid!E229))</f>
        <v/>
      </c>
      <c r="AC241" s="23" t="str">
        <f t="shared" si="22"/>
        <v/>
      </c>
    </row>
    <row r="242" spans="1:29" x14ac:dyDescent="0.25">
      <c r="A242" s="21" t="str">
        <f>IF(A241="","",Tabelid!D230)</f>
        <v/>
      </c>
      <c r="B242" s="51" t="str">
        <f>IF(A242="","",SUMIFS(Eksplikatsioon!F:F,Eksplikatsioon!A:A,AC242,Eksplikatsioon!C:C,Tabelid!E230))</f>
        <v/>
      </c>
      <c r="AC242" s="23" t="str">
        <f t="shared" si="22"/>
        <v/>
      </c>
    </row>
    <row r="243" spans="1:29" x14ac:dyDescent="0.25">
      <c r="A243" s="10" t="str">
        <f>IF(COUNTIF(Tabelid!G:G,TRUE)/10-Tabelid!H231&gt;0,MIN(Tabelid!F:F)+Tabelid!H231&amp;"."&amp;" Korrus","")</f>
        <v/>
      </c>
      <c r="AC243" s="23" t="str">
        <f>IFERROR(IF(FIND(".",A243)=3,LEFT(A243,2),LEFT(A243,1))*1,"")</f>
        <v/>
      </c>
    </row>
    <row r="244" spans="1:29" x14ac:dyDescent="0.25">
      <c r="A244" s="21" t="str">
        <f>IF(A243="","",Tabelid!D232)</f>
        <v/>
      </c>
      <c r="B244" s="51" t="str">
        <f>IF(A244="","",SUMIFS(Eksplikatsioon!F:F,Eksplikatsioon!A:A,AC244,Eksplikatsioon!C:C,Tabelid!E232))</f>
        <v/>
      </c>
      <c r="AC244" s="23" t="str">
        <f>AC243</f>
        <v/>
      </c>
    </row>
    <row r="245" spans="1:29" x14ac:dyDescent="0.25">
      <c r="A245" s="21" t="str">
        <f>IF(A244="","",Tabelid!D233)</f>
        <v/>
      </c>
      <c r="B245" s="51" t="str">
        <f>IF(A245="","",SUMIFS(Eksplikatsioon!F:F,Eksplikatsioon!A:A,AC245,Eksplikatsioon!C:C,Tabelid!E233))</f>
        <v/>
      </c>
      <c r="AC245" s="23" t="str">
        <f t="shared" ref="AC245:AC252" si="23">AC244</f>
        <v/>
      </c>
    </row>
    <row r="246" spans="1:29" x14ac:dyDescent="0.25">
      <c r="A246" s="21" t="str">
        <f>IF(A245="","",Tabelid!D234)</f>
        <v/>
      </c>
      <c r="B246" s="51" t="str">
        <f>IF(A246="","",SUMIFS(Eksplikatsioon!F:F,Eksplikatsioon!A:A,AC246,Eksplikatsioon!C:C,Tabelid!E234))</f>
        <v/>
      </c>
      <c r="AC246" s="23" t="str">
        <f t="shared" si="23"/>
        <v/>
      </c>
    </row>
    <row r="247" spans="1:29" x14ac:dyDescent="0.25">
      <c r="A247" s="21" t="str">
        <f>IF(A246="","",Tabelid!D235)</f>
        <v/>
      </c>
      <c r="B247" s="51" t="str">
        <f>IF(A247="","",SUM(B244:B246)+B252)</f>
        <v/>
      </c>
      <c r="AC247" s="23" t="str">
        <f t="shared" si="23"/>
        <v/>
      </c>
    </row>
    <row r="248" spans="1:29" x14ac:dyDescent="0.25">
      <c r="A248" s="21" t="str">
        <f>IF(A247="","",Tabelid!D236)</f>
        <v/>
      </c>
      <c r="B248" s="51" t="str">
        <f>IF(A248="","",SUMIFS(Eksplikatsioon!G:G,Eksplikatsioon!A:A,AC248))</f>
        <v/>
      </c>
      <c r="AC248" s="23" t="str">
        <f>AC247</f>
        <v/>
      </c>
    </row>
    <row r="249" spans="1:29" x14ac:dyDescent="0.2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2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25">
      <c r="A251" s="21" t="str">
        <f>IF(A250="","",Tabelid!D239)</f>
        <v/>
      </c>
      <c r="B251" s="51" t="str">
        <f>IF(A251="","",SUMIFS(Eksplikatsioon!F:F,Eksplikatsioon!A:A,AC251,Eksplikatsioon!C:C,Tabelid!E239))</f>
        <v/>
      </c>
      <c r="AC251" s="23" t="str">
        <f t="shared" si="23"/>
        <v/>
      </c>
    </row>
    <row r="252" spans="1:29" x14ac:dyDescent="0.25">
      <c r="A252" s="21" t="str">
        <f>IF(A251="","",Tabelid!D240)</f>
        <v/>
      </c>
      <c r="B252" s="51" t="str">
        <f>IF(A252="","",SUMIFS(Eksplikatsioon!F:F,Eksplikatsioon!A:A,AC252,Eksplikatsioon!C:C,Tabelid!E240))</f>
        <v/>
      </c>
      <c r="AC252" s="23" t="str">
        <f t="shared" si="23"/>
        <v/>
      </c>
    </row>
    <row r="253" spans="1:29" x14ac:dyDescent="0.25">
      <c r="A253" s="10" t="str">
        <f>IF(COUNTIF(Tabelid!G:G,TRUE)/10-Tabelid!H241&gt;0,MIN(Tabelid!F:F)+Tabelid!H241&amp;"."&amp;" Korrus","")</f>
        <v/>
      </c>
      <c r="AC253" s="23" t="str">
        <f>IFERROR(IF(FIND(".",A253)=3,LEFT(A253,2),LEFT(A253,1))*1,"")</f>
        <v/>
      </c>
    </row>
    <row r="254" spans="1:29" x14ac:dyDescent="0.25">
      <c r="A254" s="21" t="str">
        <f>IF(A253="","",Tabelid!D242)</f>
        <v/>
      </c>
      <c r="B254" s="51" t="str">
        <f>IF(A254="","",SUMIFS(Eksplikatsioon!F:F,Eksplikatsioon!A:A,AC254,Eksplikatsioon!C:C,Tabelid!E242))</f>
        <v/>
      </c>
      <c r="AC254" s="23" t="str">
        <f>AC253</f>
        <v/>
      </c>
    </row>
    <row r="255" spans="1:29" x14ac:dyDescent="0.25">
      <c r="A255" s="21" t="str">
        <f>IF(A254="","",Tabelid!D243)</f>
        <v/>
      </c>
      <c r="B255" s="51" t="str">
        <f>IF(A255="","",SUMIFS(Eksplikatsioon!F:F,Eksplikatsioon!A:A,AC255,Eksplikatsioon!C:C,Tabelid!E243))</f>
        <v/>
      </c>
      <c r="AC255" s="23" t="str">
        <f t="shared" ref="AC255:AC262" si="24">AC254</f>
        <v/>
      </c>
    </row>
    <row r="256" spans="1:29" x14ac:dyDescent="0.25">
      <c r="A256" s="21" t="str">
        <f>IF(A255="","",Tabelid!D244)</f>
        <v/>
      </c>
      <c r="B256" s="51" t="str">
        <f>IF(A256="","",SUMIFS(Eksplikatsioon!F:F,Eksplikatsioon!A:A,AC256,Eksplikatsioon!C:C,Tabelid!E244))</f>
        <v/>
      </c>
      <c r="AC256" s="23" t="str">
        <f t="shared" si="24"/>
        <v/>
      </c>
    </row>
    <row r="257" spans="1:29" x14ac:dyDescent="0.25">
      <c r="A257" s="21" t="str">
        <f>IF(A256="","",Tabelid!D245)</f>
        <v/>
      </c>
      <c r="B257" s="51" t="str">
        <f>IF(A257="","",SUM(B254:B256)+B262)</f>
        <v/>
      </c>
      <c r="AC257" s="23" t="str">
        <f t="shared" si="24"/>
        <v/>
      </c>
    </row>
    <row r="258" spans="1:29" x14ac:dyDescent="0.25">
      <c r="A258" s="21" t="str">
        <f>IF(A257="","",Tabelid!D246)</f>
        <v/>
      </c>
      <c r="B258" s="51" t="str">
        <f>IF(A258="","",SUMIFS(Eksplikatsioon!G:G,Eksplikatsioon!A:A,AC258))</f>
        <v/>
      </c>
      <c r="AC258" s="23" t="str">
        <f>AC257</f>
        <v/>
      </c>
    </row>
    <row r="259" spans="1:29" x14ac:dyDescent="0.2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2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25">
      <c r="A261" s="21" t="str">
        <f>IF(A260="","",Tabelid!D249)</f>
        <v/>
      </c>
      <c r="B261" s="51" t="str">
        <f>IF(A261="","",SUMIFS(Eksplikatsioon!F:F,Eksplikatsioon!A:A,AC261,Eksplikatsioon!C:C,Tabelid!E249))</f>
        <v/>
      </c>
      <c r="AC261" s="23" t="str">
        <f t="shared" si="24"/>
        <v/>
      </c>
    </row>
    <row r="262" spans="1:29" x14ac:dyDescent="0.25">
      <c r="A262" s="21" t="str">
        <f>IF(A261="","",Tabelid!D250)</f>
        <v/>
      </c>
      <c r="B262" s="51" t="str">
        <f>IF(A262="","",SUMIFS(Eksplikatsioon!F:F,Eksplikatsioon!A:A,AC262,Eksplikatsioon!C:C,Tabelid!E250))</f>
        <v/>
      </c>
      <c r="AC262" s="23" t="str">
        <f t="shared" si="24"/>
        <v/>
      </c>
    </row>
    <row r="263" spans="1:29" x14ac:dyDescent="0.25">
      <c r="A263" s="10" t="str">
        <f>IF(COUNTIF(Tabelid!G:G,TRUE)/10-Tabelid!H251&gt;0,MIN(Tabelid!F:F)+Tabelid!H251&amp;"."&amp;" Korrus","")</f>
        <v/>
      </c>
      <c r="AC263" s="23" t="str">
        <f>IFERROR(IF(FIND(".",A263)=3,LEFT(A263,2),LEFT(A263,1))*1,"")</f>
        <v/>
      </c>
    </row>
    <row r="264" spans="1:29" x14ac:dyDescent="0.25">
      <c r="A264" s="21" t="str">
        <f>IF(A263="","",Tabelid!D252)</f>
        <v/>
      </c>
      <c r="B264" s="51" t="str">
        <f>IF(A264="","",SUMIFS(Eksplikatsioon!F:F,Eksplikatsioon!A:A,AC264,Eksplikatsioon!C:C,Tabelid!E252))</f>
        <v/>
      </c>
      <c r="AC264" s="23" t="str">
        <f>AC263</f>
        <v/>
      </c>
    </row>
    <row r="265" spans="1:29" x14ac:dyDescent="0.25">
      <c r="A265" s="21" t="str">
        <f>IF(A264="","",Tabelid!D253)</f>
        <v/>
      </c>
      <c r="B265" s="51" t="str">
        <f>IF(A265="","",SUMIFS(Eksplikatsioon!F:F,Eksplikatsioon!A:A,AC265,Eksplikatsioon!C:C,Tabelid!E253))</f>
        <v/>
      </c>
      <c r="AC265" s="23" t="str">
        <f t="shared" ref="AC265:AC272" si="25">AC264</f>
        <v/>
      </c>
    </row>
    <row r="266" spans="1:29" x14ac:dyDescent="0.25">
      <c r="A266" s="21" t="str">
        <f>IF(A265="","",Tabelid!D254)</f>
        <v/>
      </c>
      <c r="B266" s="51" t="str">
        <f>IF(A266="","",SUMIFS(Eksplikatsioon!F:F,Eksplikatsioon!A:A,AC266,Eksplikatsioon!C:C,Tabelid!E254))</f>
        <v/>
      </c>
      <c r="AC266" s="23" t="str">
        <f t="shared" si="25"/>
        <v/>
      </c>
    </row>
    <row r="267" spans="1:29" x14ac:dyDescent="0.25">
      <c r="A267" s="21" t="str">
        <f>IF(A266="","",Tabelid!D255)</f>
        <v/>
      </c>
      <c r="B267" s="51" t="str">
        <f>IF(A267="","",SUM(B264:B266)+B272)</f>
        <v/>
      </c>
      <c r="AC267" s="23" t="str">
        <f t="shared" si="25"/>
        <v/>
      </c>
    </row>
    <row r="268" spans="1:29" x14ac:dyDescent="0.25">
      <c r="A268" s="21" t="str">
        <f>IF(A267="","",Tabelid!D256)</f>
        <v/>
      </c>
      <c r="B268" s="51" t="str">
        <f>IF(A268="","",SUMIFS(Eksplikatsioon!G:G,Eksplikatsioon!A:A,AC268))</f>
        <v/>
      </c>
      <c r="AC268" s="23" t="str">
        <f>AC267</f>
        <v/>
      </c>
    </row>
    <row r="269" spans="1:29" x14ac:dyDescent="0.2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2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25">
      <c r="A271" s="21" t="str">
        <f>IF(A270="","",Tabelid!D259)</f>
        <v/>
      </c>
      <c r="B271" s="51" t="str">
        <f>IF(A271="","",SUMIFS(Eksplikatsioon!F:F,Eksplikatsioon!A:A,AC271,Eksplikatsioon!C:C,Tabelid!E259))</f>
        <v/>
      </c>
      <c r="AC271" s="23" t="str">
        <f t="shared" si="25"/>
        <v/>
      </c>
    </row>
    <row r="272" spans="1:29" x14ac:dyDescent="0.2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Normal="100" workbookViewId="0">
      <pane ySplit="3" topLeftCell="A4" activePane="bottomLeft" state="frozen"/>
      <selection pane="bottomLeft" activeCell="K22" sqref="K22"/>
    </sheetView>
  </sheetViews>
  <sheetFormatPr defaultColWidth="9.140625" defaultRowHeight="15" outlineLevelCol="2" x14ac:dyDescent="0.25"/>
  <cols>
    <col min="1" max="1" width="9.140625" style="11" customWidth="1"/>
    <col min="2" max="2" width="11.140625" style="15" customWidth="1"/>
    <col min="3" max="3" width="44" style="11" customWidth="1"/>
    <col min="4" max="4" width="24" style="11" customWidth="1"/>
    <col min="5" max="5" width="17.85546875" style="11" customWidth="1"/>
    <col min="6" max="7" width="11.85546875" style="51" customWidth="1"/>
    <col min="8" max="8" width="45.85546875" style="11" customWidth="1"/>
    <col min="9" max="9" width="13.85546875" style="11" customWidth="1" outlineLevel="1"/>
    <col min="10" max="10" width="24.5703125" style="14" customWidth="1" outlineLevel="1"/>
    <col min="11" max="11" width="50.85546875" style="9" customWidth="1" outlineLevel="1"/>
    <col min="12" max="12" width="25.8554687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8554687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28</v>
      </c>
      <c r="B1" s="13" t="str">
        <f>IF('Hoone üldandmed'!B2="","",'Hoone üldandmed'!B2)</f>
        <v>Põlva maakond, Põlva vald, Põlva linn, Kesk tn 20</v>
      </c>
      <c r="H1" s="35"/>
    </row>
    <row r="2" spans="1:37" x14ac:dyDescent="0.25">
      <c r="O2" s="33" t="s">
        <v>57</v>
      </c>
      <c r="P2" s="33"/>
      <c r="Q2" s="33"/>
      <c r="R2" s="33"/>
      <c r="S2" s="33"/>
      <c r="T2" s="33"/>
      <c r="U2" s="33"/>
      <c r="V2" s="33"/>
      <c r="W2" s="33"/>
      <c r="X2" s="33"/>
      <c r="Y2" s="33"/>
      <c r="Z2" s="33"/>
      <c r="AA2" s="33"/>
      <c r="AB2" s="33"/>
      <c r="AC2" s="33"/>
      <c r="AD2" s="33"/>
      <c r="AE2" s="33"/>
      <c r="AF2" s="33"/>
      <c r="AG2" s="33"/>
    </row>
    <row r="3" spans="1:37" ht="43.5" customHeight="1" x14ac:dyDescent="0.25">
      <c r="A3" s="16" t="s">
        <v>58</v>
      </c>
      <c r="B3" s="17" t="s">
        <v>59</v>
      </c>
      <c r="C3" s="16" t="s">
        <v>60</v>
      </c>
      <c r="D3" s="16" t="s">
        <v>61</v>
      </c>
      <c r="E3" s="16" t="s">
        <v>62</v>
      </c>
      <c r="F3" s="52" t="s">
        <v>63</v>
      </c>
      <c r="G3" s="52" t="s">
        <v>64</v>
      </c>
      <c r="H3" s="16" t="s">
        <v>65</v>
      </c>
      <c r="I3" s="16" t="s">
        <v>66</v>
      </c>
      <c r="J3" s="67" t="s">
        <v>67</v>
      </c>
      <c r="K3" s="16" t="s">
        <v>2</v>
      </c>
      <c r="L3" s="16" t="s">
        <v>3</v>
      </c>
      <c r="M3" s="16" t="s">
        <v>68</v>
      </c>
      <c r="N3" s="16"/>
      <c r="O3" s="30" t="str">
        <f ca="1">IF(INDIRECT("'Lepingu lisa'!R"&amp;COLUMN()-10&amp;"C49",FALSE)="","",INDIRECT("'Lepingu lisa'!R"&amp;COLUMN()-12&amp;"C49",FALSE))</f>
        <v>Maa- ja Ruumiamet</v>
      </c>
      <c r="P3" s="30" t="str">
        <f t="shared" ref="P3:AG3" ca="1" si="0">IF(INDIRECT("'Lepingu lisa'!R"&amp;COLUMN()-10&amp;"C49",FALSE)="","",INDIRECT("'Lepingu lisa'!R"&amp;COLUMN()-12&amp;"C49",FALSE))</f>
        <v>Muinsuskaitseamet</v>
      </c>
      <c r="Q3" s="30" t="str">
        <f t="shared" ca="1" si="0"/>
        <v>Eesti Rahvakultuuri Keskus</v>
      </c>
      <c r="R3" s="30" t="str">
        <f t="shared" ca="1" si="0"/>
        <v>Rahandusministeerium</v>
      </c>
      <c r="S3" s="30" t="str">
        <f t="shared" ca="1" si="0"/>
        <v>Põlvamaa Arenduskeskus SA</v>
      </c>
      <c r="T3" s="30" t="str">
        <f t="shared" ca="1" si="0"/>
        <v>Põlvamaa Maakonna Spordiliit</v>
      </c>
      <c r="U3" s="30" t="str">
        <f t="shared" ca="1" si="0"/>
        <v>MTÜ Kagu Ühistranspordikeskus</v>
      </c>
      <c r="V3" s="30" t="str">
        <f t="shared" ca="1" si="0"/>
        <v>Tallinna Vangla</v>
      </c>
      <c r="W3" s="30" t="str">
        <f t="shared" ca="1" si="0"/>
        <v>Aktiivne vakantsus</v>
      </c>
      <c r="X3" s="30" t="str">
        <f t="shared" ca="1" si="0"/>
        <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25">
      <c r="A4" s="18" t="s">
        <v>33</v>
      </c>
      <c r="B4" s="19" t="s">
        <v>69</v>
      </c>
      <c r="C4" s="18" t="s">
        <v>70</v>
      </c>
      <c r="D4" s="18" t="s">
        <v>71</v>
      </c>
      <c r="E4" s="18" t="s">
        <v>72</v>
      </c>
      <c r="F4" s="53">
        <v>6.4</v>
      </c>
      <c r="G4" s="53"/>
      <c r="H4" s="18"/>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row>
    <row r="5" spans="1:37" x14ac:dyDescent="0.25">
      <c r="A5" s="18" t="s">
        <v>33</v>
      </c>
      <c r="B5" s="19" t="s">
        <v>73</v>
      </c>
      <c r="C5" s="18" t="s">
        <v>74</v>
      </c>
      <c r="D5" s="18" t="s">
        <v>75</v>
      </c>
      <c r="E5" s="18" t="s">
        <v>76</v>
      </c>
      <c r="F5" s="53">
        <v>2.2000000000000002</v>
      </c>
      <c r="G5" s="53"/>
      <c r="H5" s="18"/>
      <c r="I5" s="11" t="str">
        <f>LEFT(Tabel1[[#This Row],[Ruumi tüüp (TALO Tüüpruumide nimestik)]],2)</f>
        <v>23</v>
      </c>
      <c r="J5" s="22" t="s">
        <v>4</v>
      </c>
      <c r="K5" s="18" t="s">
        <v>77</v>
      </c>
      <c r="L5" s="11" t="str">
        <f>IFERROR(VLOOKUP(Tabel1[[#This Row],[Üürnik]],'Lepingu lisa'!$AW$3:$AX$22,2,FALSE),"")</f>
        <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25">
      <c r="A6" s="18" t="s">
        <v>33</v>
      </c>
      <c r="B6" s="19" t="s">
        <v>78</v>
      </c>
      <c r="C6" s="18" t="s">
        <v>74</v>
      </c>
      <c r="D6" s="18" t="s">
        <v>79</v>
      </c>
      <c r="E6" s="18" t="s">
        <v>80</v>
      </c>
      <c r="F6" s="53">
        <v>36.1</v>
      </c>
      <c r="G6" s="53"/>
      <c r="H6" s="18"/>
      <c r="I6" s="11" t="str">
        <f>LEFT(Tabel1[[#This Row],[Ruumi tüüp (TALO Tüüpruumide nimestik)]],2)</f>
        <v>55</v>
      </c>
      <c r="J6" s="22" t="s">
        <v>4</v>
      </c>
      <c r="K6" s="18" t="s">
        <v>77</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25">
      <c r="A7" s="18" t="s">
        <v>33</v>
      </c>
      <c r="B7" s="19" t="s">
        <v>81</v>
      </c>
      <c r="C7" s="18" t="s">
        <v>74</v>
      </c>
      <c r="D7" s="18" t="s">
        <v>79</v>
      </c>
      <c r="E7" s="18" t="s">
        <v>80</v>
      </c>
      <c r="F7" s="53">
        <v>53.3</v>
      </c>
      <c r="G7" s="53"/>
      <c r="H7" s="18"/>
      <c r="I7" s="11" t="str">
        <f>LEFT(Tabel1[[#This Row],[Ruumi tüüp (TALO Tüüpruumide nimestik)]],2)</f>
        <v>55</v>
      </c>
      <c r="J7" s="22" t="s">
        <v>4</v>
      </c>
      <c r="K7" s="18" t="s">
        <v>77</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25">
      <c r="A8" s="18" t="s">
        <v>33</v>
      </c>
      <c r="B8" s="19" t="s">
        <v>82</v>
      </c>
      <c r="C8" s="18" t="s">
        <v>74</v>
      </c>
      <c r="D8" s="18" t="s">
        <v>79</v>
      </c>
      <c r="E8" s="18" t="s">
        <v>80</v>
      </c>
      <c r="F8" s="53">
        <v>27</v>
      </c>
      <c r="G8" s="53"/>
      <c r="H8" s="18"/>
      <c r="I8" s="11" t="str">
        <f>LEFT(Tabel1[[#This Row],[Ruumi tüüp (TALO Tüüpruumide nimestik)]],2)</f>
        <v>55</v>
      </c>
      <c r="J8" s="22" t="s">
        <v>4</v>
      </c>
      <c r="K8" s="18" t="s">
        <v>18</v>
      </c>
      <c r="L8" s="11" t="str">
        <f>IFERROR(VLOOKUP(Tabel1[[#This Row],[Üürnik]],'Lepingu lisa'!$AW$3:$AX$22,2,FALSE),"")</f>
        <v>KESK20POLVA_15</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25">
      <c r="A9" s="18" t="s">
        <v>33</v>
      </c>
      <c r="B9" s="19" t="s">
        <v>83</v>
      </c>
      <c r="C9" s="18" t="s">
        <v>74</v>
      </c>
      <c r="D9" s="18" t="s">
        <v>79</v>
      </c>
      <c r="E9" s="18" t="s">
        <v>80</v>
      </c>
      <c r="F9" s="53">
        <v>15.5</v>
      </c>
      <c r="G9" s="53"/>
      <c r="H9" s="18"/>
      <c r="I9" s="11" t="str">
        <f>LEFT(Tabel1[[#This Row],[Ruumi tüüp (TALO Tüüpruumide nimestik)]],2)</f>
        <v>55</v>
      </c>
      <c r="J9" s="22" t="s">
        <v>4</v>
      </c>
      <c r="K9" s="18" t="s">
        <v>22</v>
      </c>
      <c r="L9" s="11" t="str">
        <f>IFERROR(VLOOKUP(Tabel1[[#This Row],[Üürnik]],'Lepingu lisa'!$AW$3:$AX$22,2,FALSE),"")</f>
        <v>KESK20POLVA_13</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25">
      <c r="A10" s="18" t="s">
        <v>33</v>
      </c>
      <c r="B10" s="19" t="s">
        <v>84</v>
      </c>
      <c r="C10" s="18" t="s">
        <v>74</v>
      </c>
      <c r="D10" s="18" t="s">
        <v>85</v>
      </c>
      <c r="E10" s="18" t="s">
        <v>86</v>
      </c>
      <c r="F10" s="53">
        <v>10.8</v>
      </c>
      <c r="G10" s="53"/>
      <c r="H10" s="18"/>
      <c r="I10" s="11" t="str">
        <f>LEFT(Tabel1[[#This Row],[Ruumi tüüp (TALO Tüüpruumide nimestik)]],2)</f>
        <v>75</v>
      </c>
      <c r="J10" s="22" t="s">
        <v>4</v>
      </c>
      <c r="K10" s="18" t="s">
        <v>77</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25">
      <c r="A11" s="18" t="s">
        <v>33</v>
      </c>
      <c r="B11" s="19" t="s">
        <v>87</v>
      </c>
      <c r="C11" s="18" t="s">
        <v>74</v>
      </c>
      <c r="D11" s="18" t="s">
        <v>88</v>
      </c>
      <c r="E11" s="18" t="s">
        <v>89</v>
      </c>
      <c r="F11" s="53">
        <v>6.1</v>
      </c>
      <c r="G11" s="53"/>
      <c r="H11" s="18"/>
      <c r="I11" s="11" t="str">
        <f>LEFT(Tabel1[[#This Row],[Ruumi tüüp (TALO Tüüpruumide nimestik)]],2)</f>
        <v>91</v>
      </c>
      <c r="J11" s="22" t="s">
        <v>6</v>
      </c>
      <c r="K11" s="18"/>
      <c r="L11" s="11" t="str">
        <f>IFERROR(VLOOKUP(Tabel1[[#This Row],[Üürnik]],'Lepingu lisa'!$AW$3:$AX$22,2,FALSE),"")</f>
        <v/>
      </c>
      <c r="M11" s="11" t="str">
        <f>IFERROR(VLOOKUP(Tabel1[[#This Row],[Jaotus]],Tabelid!L:M,2,FALSE),"")</f>
        <v>BUILDING</v>
      </c>
      <c r="N11" s="11"/>
      <c r="O11" s="34"/>
      <c r="P11" s="34"/>
      <c r="Q11" s="34"/>
      <c r="R11" s="34"/>
      <c r="S11" s="34"/>
      <c r="T11" s="34"/>
      <c r="U11" s="34"/>
      <c r="V11" s="34"/>
      <c r="W11" s="34"/>
      <c r="X11" s="34"/>
      <c r="Y11" s="34"/>
      <c r="Z11" s="34"/>
      <c r="AA11" s="34"/>
      <c r="AB11" s="34"/>
      <c r="AC11" s="34"/>
      <c r="AD11" s="34"/>
      <c r="AE11" s="34"/>
      <c r="AF11" s="34"/>
      <c r="AG11" s="34"/>
    </row>
    <row r="12" spans="1:37" x14ac:dyDescent="0.25">
      <c r="A12" s="18" t="s">
        <v>33</v>
      </c>
      <c r="B12" s="19" t="s">
        <v>90</v>
      </c>
      <c r="C12" s="18" t="s">
        <v>70</v>
      </c>
      <c r="D12" s="18" t="s">
        <v>71</v>
      </c>
      <c r="E12" s="18" t="s">
        <v>72</v>
      </c>
      <c r="F12" s="53">
        <v>4.5999999999999996</v>
      </c>
      <c r="G12" s="53"/>
      <c r="H12" s="18"/>
      <c r="I12" s="11" t="str">
        <f>LEFT(Tabel1[[#This Row],[Ruumi tüüp (TALO Tüüpruumide nimestik)]],2)</f>
        <v>92</v>
      </c>
      <c r="J12" s="22"/>
      <c r="K12" s="18"/>
      <c r="L12" s="11" t="str">
        <f>IFERROR(VLOOKUP(Tabel1[[#This Row],[Üürnik]],'Lepingu lisa'!$AW$3:$AX$22,2,FALSE),"")</f>
        <v/>
      </c>
      <c r="M12" s="11" t="str">
        <f>IFERROR(VLOOKUP(Tabel1[[#This Row],[Jaotus]],Tabelid!L:M,2,FALSE),"")</f>
        <v/>
      </c>
      <c r="N12" s="11"/>
      <c r="O12" s="34"/>
      <c r="P12" s="34"/>
      <c r="Q12" s="34"/>
      <c r="R12" s="34"/>
      <c r="S12" s="34"/>
      <c r="T12" s="34"/>
      <c r="U12" s="34"/>
      <c r="V12" s="34"/>
      <c r="W12" s="34"/>
      <c r="X12" s="34"/>
      <c r="Y12" s="34"/>
      <c r="Z12" s="34"/>
      <c r="AA12" s="34"/>
      <c r="AB12" s="34"/>
      <c r="AC12" s="34"/>
      <c r="AD12" s="34"/>
      <c r="AE12" s="34"/>
      <c r="AF12" s="34"/>
      <c r="AG12" s="34"/>
    </row>
    <row r="13" spans="1:37" x14ac:dyDescent="0.25">
      <c r="A13" s="18" t="s">
        <v>33</v>
      </c>
      <c r="B13" s="19" t="s">
        <v>91</v>
      </c>
      <c r="C13" s="18" t="s">
        <v>74</v>
      </c>
      <c r="D13" s="18" t="s">
        <v>92</v>
      </c>
      <c r="E13" s="18" t="s">
        <v>89</v>
      </c>
      <c r="F13" s="53">
        <v>16.600000000000001</v>
      </c>
      <c r="G13" s="53"/>
      <c r="H13" s="18"/>
      <c r="I13" s="11" t="str">
        <f>LEFT(Tabel1[[#This Row],[Ruumi tüüp (TALO Tüüpruumide nimestik)]],2)</f>
        <v>91</v>
      </c>
      <c r="J13" s="22" t="s">
        <v>93</v>
      </c>
      <c r="K13" s="18"/>
      <c r="L13" s="11" t="str">
        <f>IFERROR(VLOOKUP(Tabel1[[#This Row],[Üürnik]],'Lepingu lisa'!$AW$3:$AX$22,2,FALSE),"")</f>
        <v/>
      </c>
      <c r="M13" s="11" t="str">
        <f>IFERROR(VLOOKUP(Tabel1[[#This Row],[Jaotus]],Tabelid!L:M,2,FALSE),"")</f>
        <v>FLOOR</v>
      </c>
      <c r="N13" s="11"/>
      <c r="O13" s="34"/>
      <c r="P13" s="34"/>
      <c r="Q13" s="34"/>
      <c r="R13" s="34"/>
      <c r="S13" s="34"/>
      <c r="T13" s="34"/>
      <c r="U13" s="34"/>
      <c r="V13" s="34"/>
      <c r="W13" s="34"/>
      <c r="X13" s="34"/>
      <c r="Y13" s="34"/>
      <c r="Z13" s="34"/>
      <c r="AA13" s="34"/>
      <c r="AB13" s="34"/>
      <c r="AC13" s="34"/>
      <c r="AD13" s="34"/>
      <c r="AE13" s="34"/>
      <c r="AF13" s="34"/>
      <c r="AG13" s="34"/>
    </row>
    <row r="14" spans="1:37" x14ac:dyDescent="0.25">
      <c r="A14" s="18" t="s">
        <v>33</v>
      </c>
      <c r="B14" s="19" t="s">
        <v>94</v>
      </c>
      <c r="C14" s="18" t="s">
        <v>74</v>
      </c>
      <c r="D14" s="18" t="s">
        <v>95</v>
      </c>
      <c r="E14" s="18" t="s">
        <v>96</v>
      </c>
      <c r="F14" s="53">
        <v>18.3</v>
      </c>
      <c r="G14" s="53"/>
      <c r="H14" s="18"/>
      <c r="I14" s="11" t="str">
        <f>LEFT(Tabel1[[#This Row],[Ruumi tüüp (TALO Tüüpruumide nimestik)]],2)</f>
        <v>21</v>
      </c>
      <c r="J14" s="22" t="s">
        <v>4</v>
      </c>
      <c r="K14" s="18" t="s">
        <v>77</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25">
      <c r="A15" s="18" t="s">
        <v>33</v>
      </c>
      <c r="B15" s="19" t="s">
        <v>97</v>
      </c>
      <c r="C15" s="18" t="s">
        <v>74</v>
      </c>
      <c r="D15" s="18" t="s">
        <v>98</v>
      </c>
      <c r="E15" s="18" t="s">
        <v>96</v>
      </c>
      <c r="F15" s="53">
        <v>18.3</v>
      </c>
      <c r="G15" s="53"/>
      <c r="H15" s="18"/>
      <c r="I15" s="11" t="str">
        <f>LEFT(Tabel1[[#This Row],[Ruumi tüüp (TALO Tüüpruumide nimestik)]],2)</f>
        <v>21</v>
      </c>
      <c r="J15" s="22" t="s">
        <v>4</v>
      </c>
      <c r="K15" s="18" t="s">
        <v>77</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25">
      <c r="A16" s="18" t="s">
        <v>33</v>
      </c>
      <c r="B16" s="19" t="s">
        <v>99</v>
      </c>
      <c r="C16" s="18" t="s">
        <v>74</v>
      </c>
      <c r="D16" s="18" t="s">
        <v>98</v>
      </c>
      <c r="E16" s="18" t="s">
        <v>96</v>
      </c>
      <c r="F16" s="53">
        <v>29.6</v>
      </c>
      <c r="G16" s="53"/>
      <c r="H16" s="18"/>
      <c r="I16" s="11" t="str">
        <f>LEFT(Tabel1[[#This Row],[Ruumi tüüp (TALO Tüüpruumide nimestik)]],2)</f>
        <v>21</v>
      </c>
      <c r="J16" s="22" t="s">
        <v>4</v>
      </c>
      <c r="K16" s="18" t="s">
        <v>77</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25">
      <c r="A17" s="18" t="s">
        <v>33</v>
      </c>
      <c r="B17" s="19" t="s">
        <v>100</v>
      </c>
      <c r="C17" s="18" t="s">
        <v>74</v>
      </c>
      <c r="D17" s="18" t="s">
        <v>88</v>
      </c>
      <c r="E17" s="18" t="s">
        <v>89</v>
      </c>
      <c r="F17" s="53">
        <v>3.3</v>
      </c>
      <c r="G17" s="53"/>
      <c r="H17" s="18"/>
      <c r="I17" s="11" t="str">
        <f>LEFT(Tabel1[[#This Row],[Ruumi tüüp (TALO Tüüpruumide nimestik)]],2)</f>
        <v>91</v>
      </c>
      <c r="J17" s="22" t="s">
        <v>4</v>
      </c>
      <c r="K17" s="18" t="s">
        <v>77</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25">
      <c r="A18" s="18" t="s">
        <v>33</v>
      </c>
      <c r="B18" s="19" t="s">
        <v>101</v>
      </c>
      <c r="C18" s="18" t="s">
        <v>74</v>
      </c>
      <c r="D18" s="18" t="s">
        <v>75</v>
      </c>
      <c r="E18" s="18" t="s">
        <v>76</v>
      </c>
      <c r="F18" s="53">
        <v>17.600000000000001</v>
      </c>
      <c r="G18" s="53"/>
      <c r="H18" s="18"/>
      <c r="I18" s="11" t="str">
        <f>LEFT(Tabel1[[#This Row],[Ruumi tüüp (TALO Tüüpruumide nimestik)]],2)</f>
        <v>23</v>
      </c>
      <c r="J18" s="22" t="s">
        <v>4</v>
      </c>
      <c r="K18" s="18" t="s">
        <v>77</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25">
      <c r="A19" s="18" t="s">
        <v>33</v>
      </c>
      <c r="B19" s="19" t="s">
        <v>102</v>
      </c>
      <c r="C19" s="18" t="s">
        <v>74</v>
      </c>
      <c r="D19" s="18" t="s">
        <v>88</v>
      </c>
      <c r="E19" s="18" t="s">
        <v>89</v>
      </c>
      <c r="F19" s="53">
        <v>1.9</v>
      </c>
      <c r="G19" s="53"/>
      <c r="H19" s="18"/>
      <c r="I19" s="11" t="str">
        <f>LEFT(Tabel1[[#This Row],[Ruumi tüüp (TALO Tüüpruumide nimestik)]],2)</f>
        <v>91</v>
      </c>
      <c r="J19" s="22" t="s">
        <v>93</v>
      </c>
      <c r="K19" s="18"/>
      <c r="L19" s="11" t="str">
        <f>IFERROR(VLOOKUP(Tabel1[[#This Row],[Üürnik]],'Lepingu lisa'!$AW$3:$AX$22,2,FALSE),"")</f>
        <v/>
      </c>
      <c r="M19" s="11" t="str">
        <f>IFERROR(VLOOKUP(Tabel1[[#This Row],[Jaotus]],Tabelid!L:M,2,FALSE),"")</f>
        <v>FLOOR</v>
      </c>
      <c r="N19" s="11"/>
      <c r="O19" s="34"/>
      <c r="P19" s="34"/>
      <c r="Q19" s="34"/>
      <c r="R19" s="34"/>
      <c r="S19" s="34"/>
      <c r="T19" s="34"/>
      <c r="U19" s="34"/>
      <c r="V19" s="34"/>
      <c r="W19" s="34"/>
      <c r="X19" s="34"/>
      <c r="Y19" s="34"/>
      <c r="Z19" s="34"/>
      <c r="AA19" s="34"/>
      <c r="AB19" s="34"/>
      <c r="AC19" s="34"/>
      <c r="AD19" s="34"/>
      <c r="AE19" s="34"/>
      <c r="AF19" s="34"/>
      <c r="AG19" s="34"/>
    </row>
    <row r="20" spans="1:33" x14ac:dyDescent="0.25">
      <c r="A20" s="18" t="s">
        <v>33</v>
      </c>
      <c r="B20" s="19" t="s">
        <v>103</v>
      </c>
      <c r="C20" s="18" t="s">
        <v>104</v>
      </c>
      <c r="D20" s="18" t="s">
        <v>105</v>
      </c>
      <c r="E20" s="18" t="s">
        <v>106</v>
      </c>
      <c r="F20" s="53">
        <v>13.1</v>
      </c>
      <c r="G20" s="53"/>
      <c r="H20" s="18"/>
      <c r="I20" s="11" t="str">
        <f>LEFT(Tabel1[[#This Row],[Ruumi tüüp (TALO Tüüpruumide nimestik)]],2)</f>
        <v>99</v>
      </c>
      <c r="J20" s="22"/>
      <c r="K20" s="18"/>
      <c r="L20" s="11" t="str">
        <f>IFERROR(VLOOKUP(Tabel1[[#This Row],[Üürnik]],'Lepingu lisa'!$AW$3:$AX$22,2,FALSE),"")</f>
        <v/>
      </c>
      <c r="M20" s="11" t="str">
        <f>IFERROR(VLOOKUP(Tabel1[[#This Row],[Jaotus]],Tabelid!L:M,2,FALSE),"")</f>
        <v/>
      </c>
      <c r="N20" s="11"/>
      <c r="O20" s="34"/>
      <c r="P20" s="34"/>
      <c r="Q20" s="34"/>
      <c r="R20" s="34"/>
      <c r="S20" s="34"/>
      <c r="T20" s="34"/>
      <c r="U20" s="34"/>
      <c r="V20" s="34"/>
      <c r="W20" s="34"/>
      <c r="X20" s="34"/>
      <c r="Y20" s="34"/>
      <c r="Z20" s="34"/>
      <c r="AA20" s="34"/>
      <c r="AB20" s="34"/>
      <c r="AC20" s="34"/>
      <c r="AD20" s="34"/>
      <c r="AE20" s="34"/>
      <c r="AF20" s="34"/>
      <c r="AG20" s="34"/>
    </row>
    <row r="21" spans="1:33" x14ac:dyDescent="0.25">
      <c r="A21" s="18" t="s">
        <v>33</v>
      </c>
      <c r="B21" s="19" t="s">
        <v>107</v>
      </c>
      <c r="C21" s="18" t="s">
        <v>74</v>
      </c>
      <c r="D21" s="18" t="s">
        <v>108</v>
      </c>
      <c r="E21" s="18" t="s">
        <v>109</v>
      </c>
      <c r="F21" s="53">
        <v>2.2999999999999998</v>
      </c>
      <c r="G21" s="53"/>
      <c r="H21" s="18"/>
      <c r="I21" s="11" t="str">
        <f>LEFT(Tabel1[[#This Row],[Ruumi tüüp (TALO Tüüpruumide nimestik)]],2)</f>
        <v>73</v>
      </c>
      <c r="J21" s="22" t="s">
        <v>93</v>
      </c>
      <c r="K21" s="18"/>
      <c r="L21" s="11" t="str">
        <f>IFERROR(VLOOKUP(Tabel1[[#This Row],[Üürnik]],'Lepingu lisa'!$AW$3:$AX$22,2,FALSE),"")</f>
        <v/>
      </c>
      <c r="M21" s="11" t="str">
        <f>IFERROR(VLOOKUP(Tabel1[[#This Row],[Jaotus]],Tabelid!L:M,2,FALSE),"")</f>
        <v>FLOOR</v>
      </c>
      <c r="N21" s="11"/>
      <c r="O21" s="34"/>
      <c r="P21" s="34"/>
      <c r="Q21" s="34"/>
      <c r="R21" s="34"/>
      <c r="S21" s="34"/>
      <c r="T21" s="34"/>
      <c r="U21" s="34"/>
      <c r="V21" s="34"/>
      <c r="W21" s="34"/>
      <c r="X21" s="34"/>
      <c r="Y21" s="34"/>
      <c r="Z21" s="34"/>
      <c r="AA21" s="34"/>
      <c r="AB21" s="34"/>
      <c r="AC21" s="34"/>
      <c r="AD21" s="34"/>
      <c r="AE21" s="34"/>
      <c r="AF21" s="34"/>
      <c r="AG21" s="34"/>
    </row>
    <row r="22" spans="1:33" x14ac:dyDescent="0.25">
      <c r="A22" s="18" t="s">
        <v>33</v>
      </c>
      <c r="B22" s="19" t="s">
        <v>110</v>
      </c>
      <c r="C22" s="18" t="s">
        <v>74</v>
      </c>
      <c r="D22" s="18" t="s">
        <v>111</v>
      </c>
      <c r="E22" s="18" t="s">
        <v>112</v>
      </c>
      <c r="F22" s="53">
        <v>54</v>
      </c>
      <c r="G22" s="53"/>
      <c r="H22" s="18"/>
      <c r="I22" s="11" t="str">
        <f>LEFT(Tabel1[[#This Row],[Ruumi tüüp (TALO Tüüpruumide nimestik)]],2)</f>
        <v>53</v>
      </c>
      <c r="J22" s="22" t="s">
        <v>4</v>
      </c>
      <c r="K22" s="18" t="s">
        <v>77</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25">
      <c r="A23" s="18" t="s">
        <v>33</v>
      </c>
      <c r="B23" s="19" t="s">
        <v>113</v>
      </c>
      <c r="C23" s="18" t="s">
        <v>74</v>
      </c>
      <c r="D23" s="18" t="s">
        <v>92</v>
      </c>
      <c r="E23" s="18" t="s">
        <v>89</v>
      </c>
      <c r="F23" s="53">
        <v>18.600000000000001</v>
      </c>
      <c r="G23" s="53"/>
      <c r="H23" s="18" t="s">
        <v>398</v>
      </c>
      <c r="I23" s="11" t="str">
        <f>LEFT(Tabel1[[#This Row],[Ruumi tüüp (TALO Tüüpruumide nimestik)]],2)</f>
        <v>91</v>
      </c>
      <c r="J23" s="22" t="s">
        <v>114</v>
      </c>
      <c r="K23" s="18"/>
      <c r="L23" s="11" t="str">
        <f>IFERROR(VLOOKUP(Tabel1[[#This Row],[Üürnik]],'Lepingu lisa'!$AW$3:$AX$22,2,FALSE),"")</f>
        <v/>
      </c>
      <c r="M23" s="11" t="str">
        <f>IFERROR(VLOOKUP(Tabel1[[#This Row],[Jaotus]],Tabelid!L:M,2,FALSE),"")</f>
        <v>MUU_OTHER</v>
      </c>
      <c r="N23" s="11"/>
      <c r="O23" s="34"/>
      <c r="P23" s="34"/>
      <c r="Q23" s="34"/>
      <c r="R23" s="34">
        <v>0</v>
      </c>
      <c r="S23" s="34"/>
      <c r="T23" s="34">
        <v>1</v>
      </c>
      <c r="U23" s="34"/>
      <c r="V23" s="34"/>
      <c r="W23" s="34">
        <v>9</v>
      </c>
      <c r="X23" s="34"/>
      <c r="Y23" s="34"/>
      <c r="Z23" s="34"/>
      <c r="AA23" s="34"/>
      <c r="AB23" s="34"/>
      <c r="AC23" s="34"/>
      <c r="AD23" s="34"/>
      <c r="AE23" s="34"/>
      <c r="AF23" s="34"/>
      <c r="AG23" s="34"/>
    </row>
    <row r="24" spans="1:33" x14ac:dyDescent="0.25">
      <c r="A24" s="18" t="s">
        <v>33</v>
      </c>
      <c r="B24" s="19" t="s">
        <v>115</v>
      </c>
      <c r="C24" s="18" t="s">
        <v>74</v>
      </c>
      <c r="D24" s="18" t="s">
        <v>75</v>
      </c>
      <c r="E24" s="18" t="s">
        <v>76</v>
      </c>
      <c r="F24" s="53">
        <v>8.9</v>
      </c>
      <c r="G24" s="53"/>
      <c r="H24" s="18"/>
      <c r="I24" s="11" t="str">
        <f>LEFT(Tabel1[[#This Row],[Ruumi tüüp (TALO Tüüpruumide nimestik)]],2)</f>
        <v>23</v>
      </c>
      <c r="J24" s="22" t="s">
        <v>4</v>
      </c>
      <c r="K24" s="18" t="s">
        <v>20</v>
      </c>
      <c r="L24" s="11" t="str">
        <f>IFERROR(VLOOKUP(Tabel1[[#This Row],[Üürnik]],'Lepingu lisa'!$AW$3:$AX$22,2,FALSE),"")</f>
        <v>KESK20POLVA_14</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25">
      <c r="A25" s="18" t="s">
        <v>33</v>
      </c>
      <c r="B25" s="19" t="s">
        <v>116</v>
      </c>
      <c r="C25" s="18" t="s">
        <v>117</v>
      </c>
      <c r="D25" s="18"/>
      <c r="E25" s="18"/>
      <c r="F25" s="53">
        <v>9.6</v>
      </c>
      <c r="G25" s="53"/>
      <c r="H25" s="18"/>
      <c r="I25" s="11" t="str">
        <f>LEFT(Tabel1[[#This Row],[Ruumi tüüp (TALO Tüüpruumide nimestik)]],2)</f>
        <v/>
      </c>
      <c r="J25" s="22"/>
      <c r="K25" s="18"/>
      <c r="L25" s="11" t="str">
        <f>IFERROR(VLOOKUP(Tabel1[[#This Row],[Üürnik]],'Lepingu lisa'!$AW$3:$AX$22,2,FALSE),"")</f>
        <v/>
      </c>
      <c r="M25" s="11" t="str">
        <f>IFERROR(VLOOKUP(Tabel1[[#This Row],[Jaotus]],Tabelid!L:M,2,FALSE),"")</f>
        <v/>
      </c>
      <c r="N25" s="11"/>
      <c r="O25" s="34"/>
      <c r="P25" s="34"/>
      <c r="Q25" s="34"/>
      <c r="R25" s="34"/>
      <c r="S25" s="34"/>
      <c r="T25" s="34"/>
      <c r="U25" s="34"/>
      <c r="V25" s="34"/>
      <c r="W25" s="34"/>
      <c r="X25" s="34"/>
      <c r="Y25" s="34"/>
      <c r="Z25" s="34"/>
      <c r="AA25" s="34"/>
      <c r="AB25" s="34"/>
      <c r="AC25" s="34"/>
      <c r="AD25" s="34"/>
      <c r="AE25" s="34"/>
      <c r="AF25" s="34"/>
      <c r="AG25" s="34"/>
    </row>
    <row r="26" spans="1:33" x14ac:dyDescent="0.25">
      <c r="A26" s="18" t="s">
        <v>33</v>
      </c>
      <c r="B26" s="19" t="s">
        <v>118</v>
      </c>
      <c r="C26" s="18" t="s">
        <v>117</v>
      </c>
      <c r="D26" s="18"/>
      <c r="E26" s="18"/>
      <c r="F26" s="53">
        <v>4.7</v>
      </c>
      <c r="G26" s="53"/>
      <c r="H26" s="18"/>
      <c r="I26" s="11" t="str">
        <f>LEFT(Tabel1[[#This Row],[Ruumi tüüp (TALO Tüüpruumide nimestik)]],2)</f>
        <v/>
      </c>
      <c r="J26" s="22"/>
      <c r="K26" s="18"/>
      <c r="L26" s="11" t="str">
        <f>IFERROR(VLOOKUP(Tabel1[[#This Row],[Üürnik]],'Lepingu lisa'!$AW$3:$AX$22,2,FALSE),"")</f>
        <v/>
      </c>
      <c r="M26" s="11" t="str">
        <f>IFERROR(VLOOKUP(Tabel1[[#This Row],[Jaotus]],Tabelid!L:M,2,FALSE),"")</f>
        <v/>
      </c>
      <c r="N26" s="11"/>
      <c r="O26" s="34"/>
      <c r="P26" s="34"/>
      <c r="Q26" s="34"/>
      <c r="R26" s="34"/>
      <c r="S26" s="34"/>
      <c r="T26" s="34"/>
      <c r="U26" s="34"/>
      <c r="V26" s="34"/>
      <c r="W26" s="34"/>
      <c r="X26" s="34"/>
      <c r="Y26" s="34"/>
      <c r="Z26" s="34"/>
      <c r="AA26" s="34"/>
      <c r="AB26" s="34"/>
      <c r="AC26" s="34"/>
      <c r="AD26" s="34"/>
      <c r="AE26" s="34"/>
      <c r="AF26" s="34"/>
      <c r="AG26" s="34"/>
    </row>
    <row r="27" spans="1:33" x14ac:dyDescent="0.25">
      <c r="A27" s="18" t="s">
        <v>33</v>
      </c>
      <c r="B27" s="19" t="s">
        <v>119</v>
      </c>
      <c r="C27" s="18" t="s">
        <v>104</v>
      </c>
      <c r="D27" s="18" t="s">
        <v>120</v>
      </c>
      <c r="E27" s="18" t="s">
        <v>121</v>
      </c>
      <c r="F27" s="53">
        <v>6.5</v>
      </c>
      <c r="G27" s="53"/>
      <c r="H27" s="18"/>
      <c r="I27" s="11" t="str">
        <f>LEFT(Tabel1[[#This Row],[Ruumi tüüp (TALO Tüüpruumide nimestik)]],2)</f>
        <v>94</v>
      </c>
      <c r="J27" s="22"/>
      <c r="K27" s="18"/>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25">
      <c r="A28" s="18" t="s">
        <v>33</v>
      </c>
      <c r="B28" s="19" t="s">
        <v>122</v>
      </c>
      <c r="C28" s="18" t="s">
        <v>104</v>
      </c>
      <c r="D28" s="18" t="s">
        <v>105</v>
      </c>
      <c r="E28" s="18" t="s">
        <v>106</v>
      </c>
      <c r="F28" s="53">
        <v>2.2000000000000002</v>
      </c>
      <c r="G28" s="53"/>
      <c r="H28" s="18"/>
      <c r="I28" s="11" t="str">
        <f>LEFT(Tabel1[[#This Row],[Ruumi tüüp (TALO Tüüpruumide nimestik)]],2)</f>
        <v>99</v>
      </c>
      <c r="J28" s="22"/>
      <c r="K28" s="18"/>
      <c r="L28" s="11" t="str">
        <f>IFERROR(VLOOKUP(Tabel1[[#This Row],[Üürnik]],'Lepingu lisa'!$AW$3:$AX$22,2,FALSE),"")</f>
        <v/>
      </c>
      <c r="M28" s="11" t="str">
        <f>IFERROR(VLOOKUP(Tabel1[[#This Row],[Jaotus]],Tabelid!L:M,2,FALSE),"")</f>
        <v/>
      </c>
      <c r="N28" s="11"/>
      <c r="O28" s="34"/>
      <c r="P28" s="34"/>
      <c r="Q28" s="34"/>
      <c r="R28" s="34"/>
      <c r="S28" s="34"/>
      <c r="T28" s="34"/>
      <c r="U28" s="34"/>
      <c r="V28" s="34"/>
      <c r="W28" s="34"/>
      <c r="X28" s="34"/>
      <c r="Y28" s="34"/>
      <c r="Z28" s="34"/>
      <c r="AA28" s="34"/>
      <c r="AB28" s="34"/>
      <c r="AC28" s="34"/>
      <c r="AD28" s="34"/>
      <c r="AE28" s="34"/>
      <c r="AF28" s="34"/>
      <c r="AG28" s="34"/>
    </row>
    <row r="29" spans="1:33" x14ac:dyDescent="0.25">
      <c r="A29" s="18" t="s">
        <v>33</v>
      </c>
      <c r="B29" s="19" t="s">
        <v>123</v>
      </c>
      <c r="C29" s="18" t="s">
        <v>104</v>
      </c>
      <c r="D29" s="18" t="s">
        <v>124</v>
      </c>
      <c r="E29" s="18" t="s">
        <v>125</v>
      </c>
      <c r="F29" s="53">
        <v>23.6</v>
      </c>
      <c r="G29" s="53"/>
      <c r="H29" s="18"/>
      <c r="I29" s="11" t="str">
        <f>LEFT(Tabel1[[#This Row],[Ruumi tüüp (TALO Tüüpruumide nimestik)]],2)</f>
        <v>96</v>
      </c>
      <c r="J29" s="22"/>
      <c r="K29" s="18"/>
      <c r="L29" s="11" t="str">
        <f>IFERROR(VLOOKUP(Tabel1[[#This Row],[Üürnik]],'Lepingu lisa'!$AW$3:$AX$22,2,FALSE),"")</f>
        <v/>
      </c>
      <c r="M29" s="11" t="str">
        <f>IFERROR(VLOOKUP(Tabel1[[#This Row],[Jaotus]],Tabelid!L:M,2,FALSE),"")</f>
        <v/>
      </c>
      <c r="N29" s="11"/>
      <c r="O29" s="34"/>
      <c r="P29" s="34"/>
      <c r="Q29" s="34"/>
      <c r="R29" s="34"/>
      <c r="S29" s="34"/>
      <c r="T29" s="34"/>
      <c r="U29" s="34"/>
      <c r="V29" s="34"/>
      <c r="W29" s="34"/>
      <c r="X29" s="34"/>
      <c r="Y29" s="34"/>
      <c r="Z29" s="34"/>
      <c r="AA29" s="34"/>
      <c r="AB29" s="34"/>
      <c r="AC29" s="34"/>
      <c r="AD29" s="34"/>
      <c r="AE29" s="34"/>
      <c r="AF29" s="34"/>
      <c r="AG29" s="34"/>
    </row>
    <row r="30" spans="1:33" x14ac:dyDescent="0.25">
      <c r="A30" s="18" t="s">
        <v>126</v>
      </c>
      <c r="B30" s="19" t="s">
        <v>127</v>
      </c>
      <c r="C30" s="18" t="s">
        <v>70</v>
      </c>
      <c r="D30" s="18" t="s">
        <v>71</v>
      </c>
      <c r="E30" s="18" t="s">
        <v>72</v>
      </c>
      <c r="F30" s="53">
        <v>14.2</v>
      </c>
      <c r="G30" s="53"/>
      <c r="H30" s="18"/>
      <c r="I30" s="11" t="str">
        <f>LEFT(Tabel1[[#This Row],[Ruumi tüüp (TALO Tüüpruumide nimestik)]],2)</f>
        <v>92</v>
      </c>
      <c r="J30" s="22"/>
      <c r="K30" s="18"/>
      <c r="L30" s="11" t="str">
        <f>IFERROR(VLOOKUP(Tabel1[[#This Row],[Üürnik]],'Lepingu lisa'!$AW$3:$AX$22,2,FALSE),"")</f>
        <v/>
      </c>
      <c r="M30" s="11" t="str">
        <f>IFERROR(VLOOKUP(Tabel1[[#This Row],[Jaotus]],Tabelid!L:M,2,FALSE),"")</f>
        <v/>
      </c>
      <c r="N30" s="11"/>
      <c r="O30" s="34"/>
      <c r="P30" s="34"/>
      <c r="Q30" s="34"/>
      <c r="R30" s="34"/>
      <c r="S30" s="34"/>
      <c r="T30" s="34"/>
      <c r="U30" s="34"/>
      <c r="V30" s="34"/>
      <c r="W30" s="34"/>
      <c r="X30" s="34"/>
      <c r="Y30" s="34"/>
      <c r="Z30" s="34"/>
      <c r="AA30" s="34"/>
      <c r="AB30" s="34"/>
      <c r="AC30" s="34"/>
      <c r="AD30" s="34"/>
      <c r="AE30" s="34"/>
      <c r="AF30" s="34"/>
      <c r="AG30" s="34"/>
    </row>
    <row r="31" spans="1:33" x14ac:dyDescent="0.25">
      <c r="A31" s="18" t="s">
        <v>126</v>
      </c>
      <c r="B31" s="19" t="s">
        <v>128</v>
      </c>
      <c r="C31" s="18" t="s">
        <v>74</v>
      </c>
      <c r="D31" s="18" t="s">
        <v>92</v>
      </c>
      <c r="E31" s="18" t="s">
        <v>89</v>
      </c>
      <c r="F31" s="53">
        <v>29.1</v>
      </c>
      <c r="G31" s="53"/>
      <c r="H31" s="18"/>
      <c r="I31" s="11" t="str">
        <f>LEFT(Tabel1[[#This Row],[Ruumi tüüp (TALO Tüüpruumide nimestik)]],2)</f>
        <v>91</v>
      </c>
      <c r="J31" s="22" t="s">
        <v>93</v>
      </c>
      <c r="K31" s="18"/>
      <c r="L31" s="11" t="str">
        <f>IFERROR(VLOOKUP(Tabel1[[#This Row],[Üürnik]],'Lepingu lisa'!$AW$3:$AX$22,2,FALSE),"")</f>
        <v/>
      </c>
      <c r="M31" s="11" t="str">
        <f>IFERROR(VLOOKUP(Tabel1[[#This Row],[Jaotus]],Tabelid!L:M,2,FALSE),"")</f>
        <v>FLOOR</v>
      </c>
      <c r="N31" s="11"/>
      <c r="O31" s="34"/>
      <c r="P31" s="34"/>
      <c r="Q31" s="34"/>
      <c r="R31" s="34"/>
      <c r="S31" s="34"/>
      <c r="T31" s="34"/>
      <c r="U31" s="34"/>
      <c r="V31" s="34"/>
      <c r="W31" s="34"/>
      <c r="X31" s="34"/>
      <c r="Y31" s="34"/>
      <c r="Z31" s="34"/>
      <c r="AA31" s="34"/>
      <c r="AB31" s="34"/>
      <c r="AC31" s="34"/>
      <c r="AD31" s="34"/>
      <c r="AE31" s="34"/>
      <c r="AF31" s="34"/>
      <c r="AG31" s="34"/>
    </row>
    <row r="32" spans="1:33" x14ac:dyDescent="0.25">
      <c r="A32" s="18" t="s">
        <v>126</v>
      </c>
      <c r="B32" s="19" t="s">
        <v>129</v>
      </c>
      <c r="C32" s="18" t="s">
        <v>74</v>
      </c>
      <c r="D32" s="18" t="s">
        <v>98</v>
      </c>
      <c r="E32" s="18" t="s">
        <v>96</v>
      </c>
      <c r="F32" s="53">
        <v>10.3</v>
      </c>
      <c r="G32" s="53"/>
      <c r="H32" s="18"/>
      <c r="I32" s="11" t="str">
        <f>LEFT(Tabel1[[#This Row],[Ruumi tüüp (TALO Tüüpruumide nimestik)]],2)</f>
        <v>21</v>
      </c>
      <c r="J32" s="22" t="s">
        <v>4</v>
      </c>
      <c r="K32" s="18" t="s">
        <v>18</v>
      </c>
      <c r="L32" s="11" t="str">
        <f>IFERROR(VLOOKUP(Tabel1[[#This Row],[Üürnik]],'Lepingu lisa'!$AW$3:$AX$22,2,FALSE),"")</f>
        <v>KESK20POLVA_15</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25">
      <c r="A33" s="18" t="s">
        <v>126</v>
      </c>
      <c r="B33" s="19" t="s">
        <v>130</v>
      </c>
      <c r="C33" s="18" t="s">
        <v>74</v>
      </c>
      <c r="D33" s="18" t="s">
        <v>95</v>
      </c>
      <c r="E33" s="18" t="s">
        <v>96</v>
      </c>
      <c r="F33" s="53">
        <v>21.4</v>
      </c>
      <c r="G33" s="53"/>
      <c r="H33" s="18"/>
      <c r="I33" s="11" t="str">
        <f>LEFT(Tabel1[[#This Row],[Ruumi tüüp (TALO Tüüpruumide nimestik)]],2)</f>
        <v>21</v>
      </c>
      <c r="J33" s="22" t="s">
        <v>4</v>
      </c>
      <c r="K33" s="18" t="s">
        <v>18</v>
      </c>
      <c r="L33" s="11" t="str">
        <f>IFERROR(VLOOKUP(Tabel1[[#This Row],[Üürnik]],'Lepingu lisa'!$AW$3:$AX$22,2,FALSE),"")</f>
        <v>KESK20POLVA_15</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25">
      <c r="A34" s="18" t="s">
        <v>126</v>
      </c>
      <c r="B34" s="19" t="s">
        <v>131</v>
      </c>
      <c r="C34" s="18" t="s">
        <v>74</v>
      </c>
      <c r="D34" s="18" t="s">
        <v>98</v>
      </c>
      <c r="E34" s="18" t="s">
        <v>96</v>
      </c>
      <c r="F34" s="53">
        <v>13.3</v>
      </c>
      <c r="G34" s="53"/>
      <c r="H34" s="18"/>
      <c r="I34" s="11" t="str">
        <f>LEFT(Tabel1[[#This Row],[Ruumi tüüp (TALO Tüüpruumide nimestik)]],2)</f>
        <v>21</v>
      </c>
      <c r="J34" s="22" t="s">
        <v>4</v>
      </c>
      <c r="K34" s="18" t="s">
        <v>18</v>
      </c>
      <c r="L34" s="11" t="str">
        <f>IFERROR(VLOOKUP(Tabel1[[#This Row],[Üürnik]],'Lepingu lisa'!$AW$3:$AX$22,2,FALSE),"")</f>
        <v>KESK20POLVA_15</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25">
      <c r="A35" s="18" t="s">
        <v>126</v>
      </c>
      <c r="B35" s="19" t="s">
        <v>132</v>
      </c>
      <c r="C35" s="18" t="s">
        <v>74</v>
      </c>
      <c r="D35" s="18" t="s">
        <v>98</v>
      </c>
      <c r="E35" s="18" t="s">
        <v>96</v>
      </c>
      <c r="F35" s="53">
        <v>8.1</v>
      </c>
      <c r="G35" s="53"/>
      <c r="H35" s="18"/>
      <c r="I35" s="11" t="str">
        <f>LEFT(Tabel1[[#This Row],[Ruumi tüüp (TALO Tüüpruumide nimestik)]],2)</f>
        <v>21</v>
      </c>
      <c r="J35" s="22" t="s">
        <v>4</v>
      </c>
      <c r="K35" s="18" t="s">
        <v>77</v>
      </c>
      <c r="L35" s="11" t="str">
        <f>IFERROR(VLOOKUP(Tabel1[[#This Row],[Üürnik]],'Lepingu lisa'!$AW$3:$AX$22,2,FALSE),"")</f>
        <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25">
      <c r="A36" s="18" t="s">
        <v>126</v>
      </c>
      <c r="B36" s="19" t="s">
        <v>133</v>
      </c>
      <c r="C36" s="18" t="s">
        <v>70</v>
      </c>
      <c r="D36" s="18" t="s">
        <v>71</v>
      </c>
      <c r="E36" s="18" t="s">
        <v>72</v>
      </c>
      <c r="F36" s="53">
        <v>21.2</v>
      </c>
      <c r="G36" s="53"/>
      <c r="H36" s="18"/>
      <c r="I36" s="11" t="str">
        <f>LEFT(Tabel1[[#This Row],[Ruumi tüüp (TALO Tüüpruumide nimestik)]],2)</f>
        <v>92</v>
      </c>
      <c r="J36" s="22"/>
      <c r="K36" s="18"/>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25">
      <c r="A37" s="18" t="s">
        <v>126</v>
      </c>
      <c r="B37" s="19" t="s">
        <v>134</v>
      </c>
      <c r="C37" s="18" t="s">
        <v>74</v>
      </c>
      <c r="D37" s="18" t="s">
        <v>135</v>
      </c>
      <c r="E37" s="18" t="s">
        <v>89</v>
      </c>
      <c r="F37" s="53">
        <v>36.4</v>
      </c>
      <c r="G37" s="53"/>
      <c r="H37" s="18"/>
      <c r="I37" s="11" t="str">
        <f>LEFT(Tabel1[[#This Row],[Ruumi tüüp (TALO Tüüpruumide nimestik)]],2)</f>
        <v>91</v>
      </c>
      <c r="J37" s="22" t="s">
        <v>6</v>
      </c>
      <c r="K37" s="18"/>
      <c r="L37" s="11" t="str">
        <f>IFERROR(VLOOKUP(Tabel1[[#This Row],[Üürnik]],'Lepingu lisa'!$AW$3:$AX$22,2,FALSE),"")</f>
        <v/>
      </c>
      <c r="M37" s="11" t="str">
        <f>IFERROR(VLOOKUP(Tabel1[[#This Row],[Jaotus]],Tabelid!L:M,2,FALSE),"")</f>
        <v>BUILDING</v>
      </c>
      <c r="N37" s="11"/>
      <c r="O37" s="34"/>
      <c r="P37" s="34"/>
      <c r="Q37" s="34"/>
      <c r="R37" s="34"/>
      <c r="S37" s="34"/>
      <c r="T37" s="34"/>
      <c r="U37" s="34"/>
      <c r="V37" s="34"/>
      <c r="W37" s="34"/>
      <c r="X37" s="34"/>
      <c r="Y37" s="34"/>
      <c r="Z37" s="34"/>
      <c r="AA37" s="34"/>
      <c r="AB37" s="34"/>
      <c r="AC37" s="34"/>
      <c r="AD37" s="34"/>
      <c r="AE37" s="34"/>
      <c r="AF37" s="34"/>
      <c r="AG37" s="34"/>
    </row>
    <row r="38" spans="1:33" x14ac:dyDescent="0.25">
      <c r="A38" s="18" t="s">
        <v>126</v>
      </c>
      <c r="B38" s="19" t="s">
        <v>136</v>
      </c>
      <c r="C38" s="18" t="s">
        <v>74</v>
      </c>
      <c r="D38" s="18" t="s">
        <v>92</v>
      </c>
      <c r="E38" s="18" t="s">
        <v>89</v>
      </c>
      <c r="F38" s="53">
        <v>19.100000000000001</v>
      </c>
      <c r="G38" s="53"/>
      <c r="H38" s="18"/>
      <c r="I38" s="11" t="str">
        <f>LEFT(Tabel1[[#This Row],[Ruumi tüüp (TALO Tüüpruumide nimestik)]],2)</f>
        <v>91</v>
      </c>
      <c r="J38" s="22" t="s">
        <v>4</v>
      </c>
      <c r="K38" s="18" t="s">
        <v>77</v>
      </c>
      <c r="L38" s="11" t="str">
        <f>IFERROR(VLOOKUP(Tabel1[[#This Row],[Üürnik]],'Lepingu lisa'!$AW$3:$AX$22,2,FALSE),"")</f>
        <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x14ac:dyDescent="0.25">
      <c r="A39" s="18" t="s">
        <v>126</v>
      </c>
      <c r="B39" s="19" t="s">
        <v>137</v>
      </c>
      <c r="C39" s="18" t="s">
        <v>74</v>
      </c>
      <c r="D39" s="18" t="s">
        <v>88</v>
      </c>
      <c r="E39" s="18" t="s">
        <v>89</v>
      </c>
      <c r="F39" s="53">
        <v>3.7</v>
      </c>
      <c r="G39" s="53"/>
      <c r="H39" s="18"/>
      <c r="I39" s="11" t="str">
        <f>LEFT(Tabel1[[#This Row],[Ruumi tüüp (TALO Tüüpruumide nimestik)]],2)</f>
        <v>91</v>
      </c>
      <c r="J39" s="22" t="s">
        <v>6</v>
      </c>
      <c r="K39" s="18"/>
      <c r="L39" s="11" t="str">
        <f>IFERROR(VLOOKUP(Tabel1[[#This Row],[Üürnik]],'Lepingu lisa'!$AW$3:$AX$22,2,FALSE),"")</f>
        <v/>
      </c>
      <c r="M39" s="11" t="str">
        <f>IFERROR(VLOOKUP(Tabel1[[#This Row],[Jaotus]],Tabelid!L:M,2,FALSE),"")</f>
        <v>BUILDING</v>
      </c>
      <c r="N39" s="11"/>
      <c r="O39" s="34"/>
      <c r="P39" s="34"/>
      <c r="Q39" s="34"/>
      <c r="R39" s="34"/>
      <c r="S39" s="34"/>
      <c r="T39" s="34"/>
      <c r="U39" s="34"/>
      <c r="V39" s="34"/>
      <c r="W39" s="34"/>
      <c r="X39" s="34"/>
      <c r="Y39" s="34"/>
      <c r="Z39" s="34"/>
      <c r="AA39" s="34"/>
      <c r="AB39" s="34"/>
      <c r="AC39" s="34"/>
      <c r="AD39" s="34"/>
      <c r="AE39" s="34"/>
      <c r="AF39" s="34"/>
      <c r="AG39" s="34"/>
    </row>
    <row r="40" spans="1:33" x14ac:dyDescent="0.25">
      <c r="A40" s="18" t="s">
        <v>126</v>
      </c>
      <c r="B40" s="19" t="s">
        <v>138</v>
      </c>
      <c r="C40" s="18" t="s">
        <v>74</v>
      </c>
      <c r="D40" s="18" t="s">
        <v>108</v>
      </c>
      <c r="E40" s="18" t="s">
        <v>109</v>
      </c>
      <c r="F40" s="53">
        <v>1.2</v>
      </c>
      <c r="G40" s="53"/>
      <c r="H40" s="18"/>
      <c r="I40" s="11" t="str">
        <f>LEFT(Tabel1[[#This Row],[Ruumi tüüp (TALO Tüüpruumide nimestik)]],2)</f>
        <v>73</v>
      </c>
      <c r="J40" s="22" t="s">
        <v>6</v>
      </c>
      <c r="K40" s="18"/>
      <c r="L40" s="11" t="str">
        <f>IFERROR(VLOOKUP(Tabel1[[#This Row],[Üürnik]],'Lepingu lisa'!$AW$3:$AX$22,2,FALSE),"")</f>
        <v/>
      </c>
      <c r="M40" s="11" t="str">
        <f>IFERROR(VLOOKUP(Tabel1[[#This Row],[Jaotus]],Tabelid!L:M,2,FALSE),"")</f>
        <v>BUILDING</v>
      </c>
      <c r="N40" s="11"/>
      <c r="O40" s="34"/>
      <c r="P40" s="34"/>
      <c r="Q40" s="34"/>
      <c r="R40" s="34"/>
      <c r="S40" s="34"/>
      <c r="T40" s="34"/>
      <c r="U40" s="34"/>
      <c r="V40" s="34"/>
      <c r="W40" s="34"/>
      <c r="X40" s="34"/>
      <c r="Y40" s="34"/>
      <c r="Z40" s="34"/>
      <c r="AA40" s="34"/>
      <c r="AB40" s="34"/>
      <c r="AC40" s="34"/>
      <c r="AD40" s="34"/>
      <c r="AE40" s="34"/>
      <c r="AF40" s="34"/>
      <c r="AG40" s="34"/>
    </row>
    <row r="41" spans="1:33" x14ac:dyDescent="0.25">
      <c r="A41" s="18" t="s">
        <v>126</v>
      </c>
      <c r="B41" s="19" t="s">
        <v>139</v>
      </c>
      <c r="C41" s="18" t="s">
        <v>74</v>
      </c>
      <c r="D41" s="18" t="s">
        <v>108</v>
      </c>
      <c r="E41" s="18" t="s">
        <v>109</v>
      </c>
      <c r="F41" s="53">
        <v>1.1000000000000001</v>
      </c>
      <c r="G41" s="53"/>
      <c r="H41" s="18"/>
      <c r="I41" s="11" t="str">
        <f>LEFT(Tabel1[[#This Row],[Ruumi tüüp (TALO Tüüpruumide nimestik)]],2)</f>
        <v>73</v>
      </c>
      <c r="J41" s="22" t="s">
        <v>6</v>
      </c>
      <c r="K41" s="18"/>
      <c r="L41" s="11" t="str">
        <f>IFERROR(VLOOKUP(Tabel1[[#This Row],[Üürnik]],'Lepingu lisa'!$AW$3:$AX$22,2,FALSE),"")</f>
        <v/>
      </c>
      <c r="M41" s="11" t="str">
        <f>IFERROR(VLOOKUP(Tabel1[[#This Row],[Jaotus]],Tabelid!L:M,2,FALSE),"")</f>
        <v>BUILDING</v>
      </c>
      <c r="N41" s="11"/>
      <c r="O41" s="34"/>
      <c r="P41" s="34"/>
      <c r="Q41" s="34"/>
      <c r="R41" s="34"/>
      <c r="S41" s="34"/>
      <c r="T41" s="34"/>
      <c r="U41" s="34"/>
      <c r="V41" s="34"/>
      <c r="W41" s="34"/>
      <c r="X41" s="34"/>
      <c r="Y41" s="34"/>
      <c r="Z41" s="34"/>
      <c r="AA41" s="34"/>
      <c r="AB41" s="34"/>
      <c r="AC41" s="34"/>
      <c r="AD41" s="34"/>
      <c r="AE41" s="34"/>
      <c r="AF41" s="34"/>
      <c r="AG41" s="34"/>
    </row>
    <row r="42" spans="1:33" x14ac:dyDescent="0.25">
      <c r="A42" s="18" t="s">
        <v>126</v>
      </c>
      <c r="B42" s="19" t="s">
        <v>140</v>
      </c>
      <c r="C42" s="18" t="s">
        <v>74</v>
      </c>
      <c r="D42" s="18" t="s">
        <v>108</v>
      </c>
      <c r="E42" s="18" t="s">
        <v>109</v>
      </c>
      <c r="F42" s="53">
        <v>4.9000000000000004</v>
      </c>
      <c r="G42" s="53"/>
      <c r="H42" s="18"/>
      <c r="I42" s="11" t="str">
        <f>LEFT(Tabel1[[#This Row],[Ruumi tüüp (TALO Tüüpruumide nimestik)]],2)</f>
        <v>73</v>
      </c>
      <c r="J42" s="22" t="s">
        <v>6</v>
      </c>
      <c r="K42" s="18"/>
      <c r="L42" s="11" t="str">
        <f>IFERROR(VLOOKUP(Tabel1[[#This Row],[Üürnik]],'Lepingu lisa'!$AW$3:$AX$22,2,FALSE),"")</f>
        <v/>
      </c>
      <c r="M42" s="11" t="str">
        <f>IFERROR(VLOOKUP(Tabel1[[#This Row],[Jaotus]],Tabelid!L:M,2,FALSE),"")</f>
        <v>BUILDING</v>
      </c>
      <c r="N42" s="11"/>
      <c r="O42" s="34"/>
      <c r="P42" s="34"/>
      <c r="Q42" s="34"/>
      <c r="R42" s="34"/>
      <c r="S42" s="34"/>
      <c r="T42" s="34"/>
      <c r="U42" s="34"/>
      <c r="V42" s="34"/>
      <c r="W42" s="34"/>
      <c r="X42" s="34"/>
      <c r="Y42" s="34"/>
      <c r="Z42" s="34"/>
      <c r="AA42" s="34"/>
      <c r="AB42" s="34"/>
      <c r="AC42" s="34"/>
      <c r="AD42" s="34"/>
      <c r="AE42" s="34"/>
      <c r="AF42" s="34"/>
      <c r="AG42" s="34"/>
    </row>
    <row r="43" spans="1:33" x14ac:dyDescent="0.25">
      <c r="A43" s="18" t="s">
        <v>126</v>
      </c>
      <c r="B43" s="19" t="s">
        <v>141</v>
      </c>
      <c r="C43" s="18" t="s">
        <v>74</v>
      </c>
      <c r="D43" s="18" t="s">
        <v>85</v>
      </c>
      <c r="E43" s="18" t="s">
        <v>86</v>
      </c>
      <c r="F43" s="53">
        <v>9.4</v>
      </c>
      <c r="G43" s="53"/>
      <c r="H43" s="18"/>
      <c r="I43" s="11" t="str">
        <f>LEFT(Tabel1[[#This Row],[Ruumi tüüp (TALO Tüüpruumide nimestik)]],2)</f>
        <v>75</v>
      </c>
      <c r="J43" s="22" t="s">
        <v>4</v>
      </c>
      <c r="K43" s="18" t="s">
        <v>77</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25">
      <c r="A44" s="18" t="s">
        <v>126</v>
      </c>
      <c r="B44" s="19" t="s">
        <v>142</v>
      </c>
      <c r="C44" s="18" t="s">
        <v>74</v>
      </c>
      <c r="D44" s="18" t="s">
        <v>98</v>
      </c>
      <c r="E44" s="18" t="s">
        <v>96</v>
      </c>
      <c r="F44" s="53">
        <v>21.4</v>
      </c>
      <c r="G44" s="53"/>
      <c r="H44" s="18"/>
      <c r="I44" s="11" t="str">
        <f>LEFT(Tabel1[[#This Row],[Ruumi tüüp (TALO Tüüpruumide nimestik)]],2)</f>
        <v>21</v>
      </c>
      <c r="J44" s="22" t="s">
        <v>4</v>
      </c>
      <c r="K44" s="18" t="s">
        <v>77</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25">
      <c r="A45" s="18" t="s">
        <v>126</v>
      </c>
      <c r="B45" s="19" t="s">
        <v>143</v>
      </c>
      <c r="C45" s="18" t="s">
        <v>70</v>
      </c>
      <c r="D45" s="18" t="s">
        <v>71</v>
      </c>
      <c r="E45" s="18" t="s">
        <v>72</v>
      </c>
      <c r="F45" s="53">
        <v>6.4</v>
      </c>
      <c r="G45" s="53"/>
      <c r="H45" s="18"/>
      <c r="I45" s="11" t="str">
        <f>LEFT(Tabel1[[#This Row],[Ruumi tüüp (TALO Tüüpruumide nimestik)]],2)</f>
        <v>92</v>
      </c>
      <c r="J45" s="22"/>
      <c r="K45" s="18"/>
      <c r="L45" s="11" t="str">
        <f>IFERROR(VLOOKUP(Tabel1[[#This Row],[Üürnik]],'Lepingu lisa'!$AW$3:$AX$22,2,FALSE),"")</f>
        <v/>
      </c>
      <c r="M45" s="11" t="str">
        <f>IFERROR(VLOOKUP(Tabel1[[#This Row],[Jaotus]],Tabelid!L:M,2,FALSE),"")</f>
        <v/>
      </c>
      <c r="N45" s="11"/>
      <c r="O45" s="34"/>
      <c r="P45" s="34"/>
      <c r="Q45" s="34"/>
      <c r="R45" s="34"/>
      <c r="S45" s="34"/>
      <c r="T45" s="34"/>
      <c r="U45" s="34"/>
      <c r="V45" s="34"/>
      <c r="W45" s="34"/>
      <c r="X45" s="34"/>
      <c r="Y45" s="34"/>
      <c r="Z45" s="34"/>
      <c r="AA45" s="34"/>
      <c r="AB45" s="34"/>
      <c r="AC45" s="34"/>
      <c r="AD45" s="34"/>
      <c r="AE45" s="34"/>
      <c r="AF45" s="34"/>
      <c r="AG45" s="34"/>
    </row>
    <row r="46" spans="1:33" x14ac:dyDescent="0.25">
      <c r="A46" s="18" t="s">
        <v>126</v>
      </c>
      <c r="B46" s="19" t="s">
        <v>144</v>
      </c>
      <c r="C46" s="18" t="s">
        <v>74</v>
      </c>
      <c r="D46" s="18" t="s">
        <v>145</v>
      </c>
      <c r="E46" s="18" t="s">
        <v>146</v>
      </c>
      <c r="F46" s="53">
        <v>2.9</v>
      </c>
      <c r="G46" s="53"/>
      <c r="H46" s="18"/>
      <c r="I46" s="11" t="str">
        <f>LEFT(Tabel1[[#This Row],[Ruumi tüüp (TALO Tüüpruumide nimestik)]],2)</f>
        <v>83</v>
      </c>
      <c r="J46" s="22" t="s">
        <v>6</v>
      </c>
      <c r="K46" s="18"/>
      <c r="L46" s="11" t="str">
        <f>IFERROR(VLOOKUP(Tabel1[[#This Row],[Üürnik]],'Lepingu lisa'!$AW$3:$AX$22,2,FALSE),"")</f>
        <v/>
      </c>
      <c r="M46" s="11" t="str">
        <f>IFERROR(VLOOKUP(Tabel1[[#This Row],[Jaotus]],Tabelid!L:M,2,FALSE),"")</f>
        <v>BUILDING</v>
      </c>
      <c r="N46" s="11"/>
      <c r="O46" s="34"/>
      <c r="P46" s="34"/>
      <c r="Q46" s="34"/>
      <c r="R46" s="34"/>
      <c r="S46" s="34"/>
      <c r="T46" s="34"/>
      <c r="U46" s="34"/>
      <c r="V46" s="34"/>
      <c r="W46" s="34"/>
      <c r="X46" s="34"/>
      <c r="Y46" s="34"/>
      <c r="Z46" s="34"/>
      <c r="AA46" s="34"/>
      <c r="AB46" s="34"/>
      <c r="AC46" s="34"/>
      <c r="AD46" s="34"/>
      <c r="AE46" s="34"/>
      <c r="AF46" s="34"/>
      <c r="AG46" s="34"/>
    </row>
    <row r="47" spans="1:33" x14ac:dyDescent="0.25">
      <c r="A47" s="18" t="s">
        <v>126</v>
      </c>
      <c r="B47" s="19" t="s">
        <v>147</v>
      </c>
      <c r="C47" s="18" t="s">
        <v>74</v>
      </c>
      <c r="D47" s="18" t="s">
        <v>111</v>
      </c>
      <c r="E47" s="18" t="s">
        <v>112</v>
      </c>
      <c r="F47" s="53">
        <v>9.1</v>
      </c>
      <c r="G47" s="53"/>
      <c r="H47" s="18"/>
      <c r="I47" s="11" t="str">
        <f>LEFT(Tabel1[[#This Row],[Ruumi tüüp (TALO Tüüpruumide nimestik)]],2)</f>
        <v>53</v>
      </c>
      <c r="J47" s="22" t="s">
        <v>4</v>
      </c>
      <c r="K47" s="18" t="s">
        <v>77</v>
      </c>
      <c r="L47" s="11" t="str">
        <f>IFERROR(VLOOKUP(Tabel1[[#This Row],[Üürnik]],'Lepingu lisa'!$AW$3:$AX$22,2,FALSE),"")</f>
        <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25">
      <c r="A48" s="18" t="s">
        <v>126</v>
      </c>
      <c r="B48" s="19" t="s">
        <v>148</v>
      </c>
      <c r="C48" s="18" t="s">
        <v>74</v>
      </c>
      <c r="D48" s="18" t="s">
        <v>98</v>
      </c>
      <c r="E48" s="18" t="s">
        <v>96</v>
      </c>
      <c r="F48" s="53">
        <v>21.4</v>
      </c>
      <c r="G48" s="53"/>
      <c r="H48" s="18"/>
      <c r="I48" s="11" t="str">
        <f>LEFT(Tabel1[[#This Row],[Ruumi tüüp (TALO Tüüpruumide nimestik)]],2)</f>
        <v>21</v>
      </c>
      <c r="J48" s="22" t="s">
        <v>4</v>
      </c>
      <c r="K48" s="18" t="s">
        <v>77</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25">
      <c r="A49" s="18" t="s">
        <v>126</v>
      </c>
      <c r="B49" s="19" t="s">
        <v>149</v>
      </c>
      <c r="C49" s="18" t="s">
        <v>74</v>
      </c>
      <c r="D49" s="18" t="s">
        <v>98</v>
      </c>
      <c r="E49" s="18" t="s">
        <v>96</v>
      </c>
      <c r="F49" s="53">
        <v>10.1</v>
      </c>
      <c r="G49" s="53"/>
      <c r="H49" s="18"/>
      <c r="I49" s="11" t="str">
        <f>LEFT(Tabel1[[#This Row],[Ruumi tüüp (TALO Tüüpruumide nimestik)]],2)</f>
        <v>21</v>
      </c>
      <c r="J49" s="22" t="s">
        <v>4</v>
      </c>
      <c r="K49" s="18" t="s">
        <v>77</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25">
      <c r="A50" s="18" t="s">
        <v>126</v>
      </c>
      <c r="B50" s="19" t="s">
        <v>150</v>
      </c>
      <c r="C50" s="18" t="s">
        <v>74</v>
      </c>
      <c r="D50" s="18" t="s">
        <v>98</v>
      </c>
      <c r="E50" s="18" t="s">
        <v>96</v>
      </c>
      <c r="F50" s="53">
        <v>11.4</v>
      </c>
      <c r="G50" s="53"/>
      <c r="H50" s="18"/>
      <c r="I50" s="11" t="str">
        <f>LEFT(Tabel1[[#This Row],[Ruumi tüüp (TALO Tüüpruumide nimestik)]],2)</f>
        <v>21</v>
      </c>
      <c r="J50" s="22" t="s">
        <v>4</v>
      </c>
      <c r="K50" s="18" t="s">
        <v>77</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25">
      <c r="A51" s="18" t="s">
        <v>126</v>
      </c>
      <c r="B51" s="19" t="s">
        <v>151</v>
      </c>
      <c r="C51" s="18" t="s">
        <v>74</v>
      </c>
      <c r="D51" s="18" t="s">
        <v>152</v>
      </c>
      <c r="E51" s="18" t="s">
        <v>153</v>
      </c>
      <c r="F51" s="53">
        <v>21.7</v>
      </c>
      <c r="G51" s="53"/>
      <c r="H51" s="18"/>
      <c r="I51" s="11" t="str">
        <f>LEFT(Tabel1[[#This Row],[Ruumi tüüp (TALO Tüüpruumide nimestik)]],2)</f>
        <v>84</v>
      </c>
      <c r="J51" s="22" t="s">
        <v>4</v>
      </c>
      <c r="K51" s="18" t="s">
        <v>77</v>
      </c>
      <c r="L51" s="11" t="str">
        <f>IFERROR(VLOOKUP(Tabel1[[#This Row],[Üürnik]],'Lepingu lisa'!$AW$3:$AX$22,2,FALSE),"")</f>
        <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25">
      <c r="A52" s="18" t="s">
        <v>126</v>
      </c>
      <c r="B52" s="19" t="s">
        <v>154</v>
      </c>
      <c r="C52" s="18" t="s">
        <v>74</v>
      </c>
      <c r="D52" s="18" t="s">
        <v>98</v>
      </c>
      <c r="E52" s="18" t="s">
        <v>96</v>
      </c>
      <c r="F52" s="53">
        <v>32.299999999999997</v>
      </c>
      <c r="G52" s="53"/>
      <c r="H52" s="18"/>
      <c r="I52" s="11" t="str">
        <f>LEFT(Tabel1[[#This Row],[Ruumi tüüp (TALO Tüüpruumide nimestik)]],2)</f>
        <v>21</v>
      </c>
      <c r="J52" s="22" t="s">
        <v>4</v>
      </c>
      <c r="K52" s="18" t="s">
        <v>77</v>
      </c>
      <c r="L52" s="11" t="str">
        <f>IFERROR(VLOOKUP(Tabel1[[#This Row],[Üürnik]],'Lepingu lisa'!$AW$3:$AX$22,2,FALSE),"")</f>
        <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25">
      <c r="A53" s="18" t="s">
        <v>126</v>
      </c>
      <c r="B53" s="19" t="s">
        <v>155</v>
      </c>
      <c r="C53" s="18" t="s">
        <v>74</v>
      </c>
      <c r="D53" s="18" t="s">
        <v>145</v>
      </c>
      <c r="E53" s="18" t="s">
        <v>146</v>
      </c>
      <c r="F53" s="53">
        <v>6.7</v>
      </c>
      <c r="G53" s="53"/>
      <c r="H53" s="18"/>
      <c r="I53" s="11" t="str">
        <f>LEFT(Tabel1[[#This Row],[Ruumi tüüp (TALO Tüüpruumide nimestik)]],2)</f>
        <v>83</v>
      </c>
      <c r="J53" s="22" t="s">
        <v>6</v>
      </c>
      <c r="K53" s="18"/>
      <c r="L53" s="11" t="str">
        <f>IFERROR(VLOOKUP(Tabel1[[#This Row],[Üürnik]],'Lepingu lisa'!$AW$3:$AX$22,2,FALSE),"")</f>
        <v/>
      </c>
      <c r="M53" s="11" t="str">
        <f>IFERROR(VLOOKUP(Tabel1[[#This Row],[Jaotus]],Tabelid!L:M,2,FALSE),"")</f>
        <v>BUILDING</v>
      </c>
      <c r="N53" s="11"/>
      <c r="O53" s="34"/>
      <c r="P53" s="34"/>
      <c r="Q53" s="34"/>
      <c r="R53" s="34"/>
      <c r="S53" s="34"/>
      <c r="T53" s="34"/>
      <c r="U53" s="34"/>
      <c r="V53" s="34"/>
      <c r="W53" s="34"/>
      <c r="X53" s="34"/>
      <c r="Y53" s="34"/>
      <c r="Z53" s="34"/>
      <c r="AA53" s="34"/>
      <c r="AB53" s="34"/>
      <c r="AC53" s="34"/>
      <c r="AD53" s="34"/>
      <c r="AE53" s="34"/>
      <c r="AF53" s="34"/>
      <c r="AG53" s="34"/>
    </row>
    <row r="54" spans="1:33" x14ac:dyDescent="0.25">
      <c r="A54" s="18" t="s">
        <v>126</v>
      </c>
      <c r="B54" s="19" t="s">
        <v>156</v>
      </c>
      <c r="C54" s="18" t="s">
        <v>157</v>
      </c>
      <c r="D54" s="18" t="s">
        <v>158</v>
      </c>
      <c r="E54" s="18" t="s">
        <v>159</v>
      </c>
      <c r="F54" s="53">
        <v>14.7</v>
      </c>
      <c r="G54" s="53"/>
      <c r="H54" s="18"/>
      <c r="I54" s="11" t="str">
        <f>LEFT(Tabel1[[#This Row],[Ruumi tüüp (TALO Tüüpruumide nimestik)]],2)</f>
        <v>98</v>
      </c>
      <c r="J54" s="22"/>
      <c r="K54" s="18"/>
      <c r="L54" s="11" t="str">
        <f>IFERROR(VLOOKUP(Tabel1[[#This Row],[Üürnik]],'Lepingu lisa'!$AW$3:$AX$22,2,FALSE),"")</f>
        <v/>
      </c>
      <c r="M54" s="11" t="str">
        <f>IFERROR(VLOOKUP(Tabel1[[#This Row],[Jaotus]],Tabelid!L:M,2,FALSE),"")</f>
        <v/>
      </c>
      <c r="N54" s="11"/>
      <c r="O54" s="34"/>
      <c r="P54" s="34"/>
      <c r="Q54" s="34"/>
      <c r="R54" s="34"/>
      <c r="S54" s="34"/>
      <c r="T54" s="34"/>
      <c r="U54" s="34"/>
      <c r="V54" s="34"/>
      <c r="W54" s="34"/>
      <c r="X54" s="34"/>
      <c r="Y54" s="34"/>
      <c r="Z54" s="34"/>
      <c r="AA54" s="34"/>
      <c r="AB54" s="34"/>
      <c r="AC54" s="34"/>
      <c r="AD54" s="34"/>
      <c r="AE54" s="34"/>
      <c r="AF54" s="34"/>
      <c r="AG54" s="34"/>
    </row>
    <row r="55" spans="1:33" x14ac:dyDescent="0.25">
      <c r="A55" s="18" t="s">
        <v>126</v>
      </c>
      <c r="B55" s="19" t="s">
        <v>160</v>
      </c>
      <c r="C55" s="18" t="s">
        <v>74</v>
      </c>
      <c r="D55" s="18" t="s">
        <v>98</v>
      </c>
      <c r="E55" s="18" t="s">
        <v>96</v>
      </c>
      <c r="F55" s="53">
        <v>19.7</v>
      </c>
      <c r="G55" s="53"/>
      <c r="H55" s="18"/>
      <c r="I55" s="11" t="str">
        <f>LEFT(Tabel1[[#This Row],[Ruumi tüüp (TALO Tüüpruumide nimestik)]],2)</f>
        <v>21</v>
      </c>
      <c r="J55" s="22" t="s">
        <v>4</v>
      </c>
      <c r="K55" s="18" t="s">
        <v>77</v>
      </c>
      <c r="L55" s="11" t="str">
        <f>IFERROR(VLOOKUP(Tabel1[[#This Row],[Üürnik]],'Lepingu lisa'!$AW$3:$AX$22,2,FALSE),"")</f>
        <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25">
      <c r="A56" s="18" t="s">
        <v>126</v>
      </c>
      <c r="B56" s="19" t="s">
        <v>161</v>
      </c>
      <c r="C56" s="18" t="s">
        <v>74</v>
      </c>
      <c r="D56" s="18" t="s">
        <v>98</v>
      </c>
      <c r="E56" s="18" t="s">
        <v>96</v>
      </c>
      <c r="F56" s="53">
        <v>10</v>
      </c>
      <c r="G56" s="53"/>
      <c r="H56" s="18"/>
      <c r="I56" s="11" t="str">
        <f>LEFT(Tabel1[[#This Row],[Ruumi tüüp (TALO Tüüpruumide nimestik)]],2)</f>
        <v>21</v>
      </c>
      <c r="J56" s="22" t="s">
        <v>4</v>
      </c>
      <c r="K56" s="18" t="s">
        <v>18</v>
      </c>
      <c r="L56" s="11" t="str">
        <f>IFERROR(VLOOKUP(Tabel1[[#This Row],[Üürnik]],'Lepingu lisa'!$AW$3:$AX$22,2,FALSE),"")</f>
        <v>KESK20POLVA_15</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25">
      <c r="A57" s="18" t="s">
        <v>126</v>
      </c>
      <c r="B57" s="19" t="s">
        <v>162</v>
      </c>
      <c r="C57" s="18" t="s">
        <v>74</v>
      </c>
      <c r="D57" s="18" t="s">
        <v>98</v>
      </c>
      <c r="E57" s="18" t="s">
        <v>96</v>
      </c>
      <c r="F57" s="53">
        <v>11.3</v>
      </c>
      <c r="G57" s="53"/>
      <c r="H57" s="18"/>
      <c r="I57" s="11" t="str">
        <f>LEFT(Tabel1[[#This Row],[Ruumi tüüp (TALO Tüüpruumide nimestik)]],2)</f>
        <v>21</v>
      </c>
      <c r="J57" s="22" t="s">
        <v>4</v>
      </c>
      <c r="K57" s="18" t="s">
        <v>18</v>
      </c>
      <c r="L57" s="11" t="str">
        <f>IFERROR(VLOOKUP(Tabel1[[#This Row],[Üürnik]],'Lepingu lisa'!$AW$3:$AX$22,2,FALSE),"")</f>
        <v>KESK20POLVA_15</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25">
      <c r="A58" s="18" t="s">
        <v>126</v>
      </c>
      <c r="B58" s="19" t="s">
        <v>163</v>
      </c>
      <c r="C58" s="18" t="s">
        <v>74</v>
      </c>
      <c r="D58" s="18" t="s">
        <v>98</v>
      </c>
      <c r="E58" s="18" t="s">
        <v>96</v>
      </c>
      <c r="F58" s="53">
        <v>11.4</v>
      </c>
      <c r="G58" s="53"/>
      <c r="H58" s="18"/>
      <c r="I58" s="11" t="str">
        <f>LEFT(Tabel1[[#This Row],[Ruumi tüüp (TALO Tüüpruumide nimestik)]],2)</f>
        <v>21</v>
      </c>
      <c r="J58" s="22" t="s">
        <v>4</v>
      </c>
      <c r="K58" s="18" t="s">
        <v>18</v>
      </c>
      <c r="L58" s="11" t="str">
        <f>IFERROR(VLOOKUP(Tabel1[[#This Row],[Üürnik]],'Lepingu lisa'!$AW$3:$AX$22,2,FALSE),"")</f>
        <v>KESK20POLVA_15</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25">
      <c r="A59" s="18" t="s">
        <v>126</v>
      </c>
      <c r="B59" s="19" t="s">
        <v>164</v>
      </c>
      <c r="C59" s="18" t="s">
        <v>74</v>
      </c>
      <c r="D59" s="18" t="s">
        <v>98</v>
      </c>
      <c r="E59" s="18" t="s">
        <v>96</v>
      </c>
      <c r="F59" s="53">
        <v>10.199999999999999</v>
      </c>
      <c r="G59" s="53"/>
      <c r="H59" s="18"/>
      <c r="I59" s="11" t="str">
        <f>LEFT(Tabel1[[#This Row],[Ruumi tüüp (TALO Tüüpruumide nimestik)]],2)</f>
        <v>21</v>
      </c>
      <c r="J59" s="22" t="s">
        <v>4</v>
      </c>
      <c r="K59" s="18" t="s">
        <v>18</v>
      </c>
      <c r="L59" s="11" t="str">
        <f>IFERROR(VLOOKUP(Tabel1[[#This Row],[Üürnik]],'Lepingu lisa'!$AW$3:$AX$22,2,FALSE),"")</f>
        <v>KESK20POLVA_15</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x14ac:dyDescent="0.25">
      <c r="A60" s="18" t="s">
        <v>126</v>
      </c>
      <c r="B60" s="19" t="s">
        <v>165</v>
      </c>
      <c r="C60" s="18" t="s">
        <v>74</v>
      </c>
      <c r="D60" s="18" t="s">
        <v>98</v>
      </c>
      <c r="E60" s="18" t="s">
        <v>96</v>
      </c>
      <c r="F60" s="53">
        <v>20.9</v>
      </c>
      <c r="G60" s="53"/>
      <c r="H60" s="18"/>
      <c r="I60" s="11" t="str">
        <f>LEFT(Tabel1[[#This Row],[Ruumi tüüp (TALO Tüüpruumide nimestik)]],2)</f>
        <v>21</v>
      </c>
      <c r="J60" s="22" t="s">
        <v>4</v>
      </c>
      <c r="K60" s="18" t="s">
        <v>18</v>
      </c>
      <c r="L60" s="11" t="str">
        <f>IFERROR(VLOOKUP(Tabel1[[#This Row],[Üürnik]],'Lepingu lisa'!$AW$3:$AX$22,2,FALSE),"")</f>
        <v>KESK20POLVA_15</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row>
    <row r="61" spans="1:33" x14ac:dyDescent="0.25">
      <c r="A61" s="18" t="s">
        <v>166</v>
      </c>
      <c r="B61" s="19" t="s">
        <v>167</v>
      </c>
      <c r="C61" s="18" t="s">
        <v>70</v>
      </c>
      <c r="D61" s="18" t="s">
        <v>71</v>
      </c>
      <c r="E61" s="18" t="s">
        <v>72</v>
      </c>
      <c r="F61" s="53">
        <v>14.2</v>
      </c>
      <c r="G61" s="53"/>
      <c r="H61" s="18"/>
      <c r="I61" s="11" t="str">
        <f>LEFT(Tabel1[[#This Row],[Ruumi tüüp (TALO Tüüpruumide nimestik)]],2)</f>
        <v>92</v>
      </c>
      <c r="J61" s="22"/>
      <c r="K61" s="18"/>
      <c r="L61" s="11" t="str">
        <f>IFERROR(VLOOKUP(Tabel1[[#This Row],[Üürnik]],'Lepingu lisa'!$AW$3:$AX$22,2,FALSE),"")</f>
        <v/>
      </c>
      <c r="M61" s="11" t="str">
        <f>IFERROR(VLOOKUP(Tabel1[[#This Row],[Jaotus]],Tabelid!L:M,2,FALSE),"")</f>
        <v/>
      </c>
      <c r="N61" s="11"/>
      <c r="O61" s="34"/>
      <c r="P61" s="34"/>
      <c r="Q61" s="34"/>
      <c r="R61" s="34"/>
      <c r="S61" s="34"/>
      <c r="T61" s="34"/>
      <c r="U61" s="34"/>
      <c r="V61" s="34"/>
      <c r="W61" s="34"/>
      <c r="X61" s="34"/>
      <c r="Y61" s="34"/>
      <c r="Z61" s="34"/>
      <c r="AA61" s="34"/>
      <c r="AB61" s="34"/>
      <c r="AC61" s="34"/>
      <c r="AD61" s="34"/>
      <c r="AE61" s="34"/>
      <c r="AF61" s="34"/>
      <c r="AG61" s="34"/>
    </row>
    <row r="62" spans="1:33" x14ac:dyDescent="0.25">
      <c r="A62" s="18" t="s">
        <v>166</v>
      </c>
      <c r="B62" s="19" t="s">
        <v>168</v>
      </c>
      <c r="C62" s="18" t="s">
        <v>74</v>
      </c>
      <c r="D62" s="18" t="s">
        <v>92</v>
      </c>
      <c r="E62" s="18" t="s">
        <v>89</v>
      </c>
      <c r="F62" s="53">
        <v>29.2</v>
      </c>
      <c r="G62" s="53"/>
      <c r="H62" s="18"/>
      <c r="I62" s="11" t="str">
        <f>LEFT(Tabel1[[#This Row],[Ruumi tüüp (TALO Tüüpruumide nimestik)]],2)</f>
        <v>91</v>
      </c>
      <c r="J62" s="22" t="s">
        <v>93</v>
      </c>
      <c r="K62" s="18"/>
      <c r="L62" s="11" t="str">
        <f>IFERROR(VLOOKUP(Tabel1[[#This Row],[Üürnik]],'Lepingu lisa'!$AW$3:$AX$22,2,FALSE),"")</f>
        <v/>
      </c>
      <c r="M62" s="11" t="str">
        <f>IFERROR(VLOOKUP(Tabel1[[#This Row],[Jaotus]],Tabelid!L:M,2,FALSE),"")</f>
        <v>FLOOR</v>
      </c>
      <c r="N62" s="11"/>
      <c r="O62" s="34"/>
      <c r="P62" s="34"/>
      <c r="Q62" s="34"/>
      <c r="R62" s="34"/>
      <c r="S62" s="34"/>
      <c r="T62" s="34"/>
      <c r="U62" s="34"/>
      <c r="V62" s="34"/>
      <c r="W62" s="34"/>
      <c r="X62" s="34"/>
      <c r="Y62" s="34"/>
      <c r="Z62" s="34"/>
      <c r="AA62" s="34"/>
      <c r="AB62" s="34"/>
      <c r="AC62" s="34"/>
      <c r="AD62" s="34"/>
      <c r="AE62" s="34"/>
      <c r="AF62" s="34"/>
      <c r="AG62" s="34"/>
    </row>
    <row r="63" spans="1:33" x14ac:dyDescent="0.25">
      <c r="A63" s="18" t="s">
        <v>166</v>
      </c>
      <c r="B63" s="19" t="s">
        <v>169</v>
      </c>
      <c r="C63" s="18" t="s">
        <v>74</v>
      </c>
      <c r="D63" s="18" t="s">
        <v>98</v>
      </c>
      <c r="E63" s="18" t="s">
        <v>96</v>
      </c>
      <c r="F63" s="53">
        <v>10.4</v>
      </c>
      <c r="G63" s="53"/>
      <c r="H63" s="18"/>
      <c r="I63" s="11" t="str">
        <f>LEFT(Tabel1[[#This Row],[Ruumi tüüp (TALO Tüüpruumide nimestik)]],2)</f>
        <v>21</v>
      </c>
      <c r="J63" s="22" t="s">
        <v>4</v>
      </c>
      <c r="K63" s="18" t="s">
        <v>77</v>
      </c>
      <c r="L63" s="11" t="str">
        <f>IFERROR(VLOOKUP(Tabel1[[#This Row],[Üürnik]],'Lepingu lisa'!$AW$3:$AX$22,2,FALSE),"")</f>
        <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25">
      <c r="A64" s="18" t="s">
        <v>166</v>
      </c>
      <c r="B64" s="19" t="s">
        <v>170</v>
      </c>
      <c r="C64" s="18" t="s">
        <v>74</v>
      </c>
      <c r="D64" s="18" t="s">
        <v>98</v>
      </c>
      <c r="E64" s="18" t="s">
        <v>96</v>
      </c>
      <c r="F64" s="53">
        <v>20.7</v>
      </c>
      <c r="G64" s="53"/>
      <c r="H64" s="18"/>
      <c r="I64" s="11" t="str">
        <f>LEFT(Tabel1[[#This Row],[Ruumi tüüp (TALO Tüüpruumide nimestik)]],2)</f>
        <v>21</v>
      </c>
      <c r="J64" s="22" t="s">
        <v>4</v>
      </c>
      <c r="K64" s="18" t="s">
        <v>77</v>
      </c>
      <c r="L64" s="11" t="str">
        <f>IFERROR(VLOOKUP(Tabel1[[#This Row],[Üürnik]],'Lepingu lisa'!$AW$3:$AX$22,2,FALSE),"")</f>
        <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25">
      <c r="A65" s="18" t="s">
        <v>166</v>
      </c>
      <c r="B65" s="19" t="s">
        <v>171</v>
      </c>
      <c r="C65" s="18" t="s">
        <v>74</v>
      </c>
      <c r="D65" s="18" t="s">
        <v>98</v>
      </c>
      <c r="E65" s="18" t="s">
        <v>96</v>
      </c>
      <c r="F65" s="53">
        <v>13.4</v>
      </c>
      <c r="G65" s="53"/>
      <c r="H65" s="18"/>
      <c r="I65" s="11" t="str">
        <f>LEFT(Tabel1[[#This Row],[Ruumi tüüp (TALO Tüüpruumide nimestik)]],2)</f>
        <v>21</v>
      </c>
      <c r="J65" s="22" t="s">
        <v>4</v>
      </c>
      <c r="K65" s="18" t="s">
        <v>10</v>
      </c>
      <c r="L65" s="11" t="str">
        <f>IFERROR(VLOOKUP(Tabel1[[#This Row],[Üürnik]],'Lepingu lisa'!$AW$3:$AX$22,2,FALSE),"")</f>
        <v>KESK20POLVA_20</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25">
      <c r="A66" s="18" t="s">
        <v>166</v>
      </c>
      <c r="B66" s="19" t="s">
        <v>172</v>
      </c>
      <c r="C66" s="18" t="s">
        <v>74</v>
      </c>
      <c r="D66" s="18" t="s">
        <v>98</v>
      </c>
      <c r="E66" s="18" t="s">
        <v>96</v>
      </c>
      <c r="F66" s="53">
        <v>6.4</v>
      </c>
      <c r="G66" s="53"/>
      <c r="H66" s="18"/>
      <c r="I66" s="11" t="str">
        <f>LEFT(Tabel1[[#This Row],[Ruumi tüüp (TALO Tüüpruumide nimestik)]],2)</f>
        <v>21</v>
      </c>
      <c r="J66" s="22" t="s">
        <v>4</v>
      </c>
      <c r="K66" s="18" t="s">
        <v>10</v>
      </c>
      <c r="L66" s="11" t="str">
        <f>IFERROR(VLOOKUP(Tabel1[[#This Row],[Üürnik]],'Lepingu lisa'!$AW$3:$AX$22,2,FALSE),"")</f>
        <v>KESK20POLVA_20</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x14ac:dyDescent="0.25">
      <c r="A67" s="18" t="s">
        <v>166</v>
      </c>
      <c r="B67" s="19" t="s">
        <v>173</v>
      </c>
      <c r="C67" s="18" t="s">
        <v>70</v>
      </c>
      <c r="D67" s="18" t="s">
        <v>71</v>
      </c>
      <c r="E67" s="18" t="s">
        <v>72</v>
      </c>
      <c r="F67" s="53">
        <v>28.2</v>
      </c>
      <c r="G67" s="53"/>
      <c r="H67" s="18"/>
      <c r="I67" s="11" t="str">
        <f>LEFT(Tabel1[[#This Row],[Ruumi tüüp (TALO Tüüpruumide nimestik)]],2)</f>
        <v>92</v>
      </c>
      <c r="J67" s="22"/>
      <c r="K67" s="18"/>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25">
      <c r="A68" s="18" t="s">
        <v>166</v>
      </c>
      <c r="B68" s="19" t="s">
        <v>174</v>
      </c>
      <c r="C68" s="18" t="s">
        <v>74</v>
      </c>
      <c r="D68" s="18" t="s">
        <v>92</v>
      </c>
      <c r="E68" s="18" t="s">
        <v>89</v>
      </c>
      <c r="F68" s="53">
        <v>19.8</v>
      </c>
      <c r="G68" s="53"/>
      <c r="H68" s="18"/>
      <c r="I68" s="11" t="str">
        <f>LEFT(Tabel1[[#This Row],[Ruumi tüüp (TALO Tüüpruumide nimestik)]],2)</f>
        <v>91</v>
      </c>
      <c r="J68" s="22" t="s">
        <v>93</v>
      </c>
      <c r="K68" s="18"/>
      <c r="L68" s="11" t="str">
        <f>IFERROR(VLOOKUP(Tabel1[[#This Row],[Üürnik]],'Lepingu lisa'!$AW$3:$AX$22,2,FALSE),"")</f>
        <v/>
      </c>
      <c r="M68" s="11" t="str">
        <f>IFERROR(VLOOKUP(Tabel1[[#This Row],[Jaotus]],Tabelid!L:M,2,FALSE),"")</f>
        <v>FLOOR</v>
      </c>
      <c r="N68" s="11"/>
      <c r="O68" s="34"/>
      <c r="P68" s="34"/>
      <c r="Q68" s="34"/>
      <c r="R68" s="34"/>
      <c r="S68" s="34"/>
      <c r="T68" s="34"/>
      <c r="U68" s="34"/>
      <c r="V68" s="34"/>
      <c r="W68" s="34"/>
      <c r="X68" s="34"/>
      <c r="Y68" s="34"/>
      <c r="Z68" s="34"/>
      <c r="AA68" s="34"/>
      <c r="AB68" s="34"/>
      <c r="AC68" s="34"/>
      <c r="AD68" s="34"/>
      <c r="AE68" s="34"/>
      <c r="AF68" s="34"/>
      <c r="AG68" s="34"/>
    </row>
    <row r="69" spans="1:33" x14ac:dyDescent="0.25">
      <c r="A69" s="18" t="s">
        <v>166</v>
      </c>
      <c r="B69" s="19" t="s">
        <v>175</v>
      </c>
      <c r="C69" s="18" t="s">
        <v>74</v>
      </c>
      <c r="D69" s="18" t="s">
        <v>92</v>
      </c>
      <c r="E69" s="18" t="s">
        <v>89</v>
      </c>
      <c r="F69" s="53">
        <v>23.4</v>
      </c>
      <c r="G69" s="53"/>
      <c r="H69" s="18"/>
      <c r="I69" s="11" t="str">
        <f>LEFT(Tabel1[[#This Row],[Ruumi tüüp (TALO Tüüpruumide nimestik)]],2)</f>
        <v>91</v>
      </c>
      <c r="J69" s="22" t="s">
        <v>93</v>
      </c>
      <c r="K69" s="18"/>
      <c r="L69" s="11" t="str">
        <f>IFERROR(VLOOKUP(Tabel1[[#This Row],[Üürnik]],'Lepingu lisa'!$AW$3:$AX$22,2,FALSE),"")</f>
        <v/>
      </c>
      <c r="M69" s="11" t="str">
        <f>IFERROR(VLOOKUP(Tabel1[[#This Row],[Jaotus]],Tabelid!L:M,2,FALSE),"")</f>
        <v>FLOOR</v>
      </c>
      <c r="N69" s="11"/>
      <c r="O69" s="34"/>
      <c r="P69" s="34"/>
      <c r="Q69" s="34"/>
      <c r="R69" s="34"/>
      <c r="S69" s="34"/>
      <c r="T69" s="34"/>
      <c r="U69" s="34"/>
      <c r="V69" s="34"/>
      <c r="W69" s="34"/>
      <c r="X69" s="34"/>
      <c r="Y69" s="34"/>
      <c r="Z69" s="34"/>
      <c r="AA69" s="34"/>
      <c r="AB69" s="34"/>
      <c r="AC69" s="34"/>
      <c r="AD69" s="34"/>
      <c r="AE69" s="34"/>
      <c r="AF69" s="34"/>
      <c r="AG69" s="34"/>
    </row>
    <row r="70" spans="1:33" x14ac:dyDescent="0.25">
      <c r="A70" s="18" t="s">
        <v>166</v>
      </c>
      <c r="B70" s="19" t="s">
        <v>176</v>
      </c>
      <c r="C70" s="18" t="s">
        <v>74</v>
      </c>
      <c r="D70" s="18" t="s">
        <v>177</v>
      </c>
      <c r="E70" s="18" t="s">
        <v>178</v>
      </c>
      <c r="F70" s="53">
        <v>4.8</v>
      </c>
      <c r="G70" s="53"/>
      <c r="H70" s="18"/>
      <c r="I70" s="11" t="str">
        <f>LEFT(Tabel1[[#This Row],[Ruumi tüüp (TALO Tüüpruumide nimestik)]],2)</f>
        <v>72</v>
      </c>
      <c r="J70" s="22" t="s">
        <v>93</v>
      </c>
      <c r="K70" s="18"/>
      <c r="L70" s="11" t="str">
        <f>IFERROR(VLOOKUP(Tabel1[[#This Row],[Üürnik]],'Lepingu lisa'!$AW$3:$AX$22,2,FALSE),"")</f>
        <v/>
      </c>
      <c r="M70" s="11" t="str">
        <f>IFERROR(VLOOKUP(Tabel1[[#This Row],[Jaotus]],Tabelid!L:M,2,FALSE),"")</f>
        <v>FLOOR</v>
      </c>
      <c r="N70" s="11"/>
      <c r="O70" s="34"/>
      <c r="P70" s="34"/>
      <c r="Q70" s="34"/>
      <c r="R70" s="34"/>
      <c r="S70" s="34"/>
      <c r="T70" s="34"/>
      <c r="U70" s="34"/>
      <c r="V70" s="34"/>
      <c r="W70" s="34"/>
      <c r="X70" s="34"/>
      <c r="Y70" s="34"/>
      <c r="Z70" s="34"/>
      <c r="AA70" s="34"/>
      <c r="AB70" s="34"/>
      <c r="AC70" s="34"/>
      <c r="AD70" s="34"/>
      <c r="AE70" s="34"/>
      <c r="AF70" s="34"/>
      <c r="AG70" s="34"/>
    </row>
    <row r="71" spans="1:33" x14ac:dyDescent="0.25">
      <c r="A71" s="18" t="s">
        <v>166</v>
      </c>
      <c r="B71" s="19" t="s">
        <v>179</v>
      </c>
      <c r="C71" s="18" t="s">
        <v>74</v>
      </c>
      <c r="D71" s="18" t="s">
        <v>108</v>
      </c>
      <c r="E71" s="18" t="s">
        <v>109</v>
      </c>
      <c r="F71" s="53">
        <v>1.5</v>
      </c>
      <c r="G71" s="53"/>
      <c r="H71" s="18"/>
      <c r="I71" s="11" t="str">
        <f>LEFT(Tabel1[[#This Row],[Ruumi tüüp (TALO Tüüpruumide nimestik)]],2)</f>
        <v>73</v>
      </c>
      <c r="J71" s="22" t="s">
        <v>93</v>
      </c>
      <c r="K71" s="18"/>
      <c r="L71" s="11" t="str">
        <f>IFERROR(VLOOKUP(Tabel1[[#This Row],[Üürnik]],'Lepingu lisa'!$AW$3:$AX$22,2,FALSE),"")</f>
        <v/>
      </c>
      <c r="M71" s="11" t="str">
        <f>IFERROR(VLOOKUP(Tabel1[[#This Row],[Jaotus]],Tabelid!L:M,2,FALSE),"")</f>
        <v>FLOOR</v>
      </c>
      <c r="N71" s="11"/>
      <c r="O71" s="34"/>
      <c r="P71" s="34"/>
      <c r="Q71" s="34"/>
      <c r="R71" s="34"/>
      <c r="S71" s="34"/>
      <c r="T71" s="34"/>
      <c r="U71" s="34"/>
      <c r="V71" s="34"/>
      <c r="W71" s="34"/>
      <c r="X71" s="34"/>
      <c r="Y71" s="34"/>
      <c r="Z71" s="34"/>
      <c r="AA71" s="34"/>
      <c r="AB71" s="34"/>
      <c r="AC71" s="34"/>
      <c r="AD71" s="34"/>
      <c r="AE71" s="34"/>
      <c r="AF71" s="34"/>
      <c r="AG71" s="34"/>
    </row>
    <row r="72" spans="1:33" x14ac:dyDescent="0.25">
      <c r="A72" s="18" t="s">
        <v>166</v>
      </c>
      <c r="B72" s="19" t="s">
        <v>180</v>
      </c>
      <c r="C72" s="18" t="s">
        <v>74</v>
      </c>
      <c r="D72" s="18" t="s">
        <v>108</v>
      </c>
      <c r="E72" s="18" t="s">
        <v>109</v>
      </c>
      <c r="F72" s="53">
        <v>1.2</v>
      </c>
      <c r="G72" s="53"/>
      <c r="H72" s="18"/>
      <c r="I72" s="11" t="str">
        <f>LEFT(Tabel1[[#This Row],[Ruumi tüüp (TALO Tüüpruumide nimestik)]],2)</f>
        <v>73</v>
      </c>
      <c r="J72" s="22" t="s">
        <v>93</v>
      </c>
      <c r="K72" s="18"/>
      <c r="L72" s="11" t="str">
        <f>IFERROR(VLOOKUP(Tabel1[[#This Row],[Üürnik]],'Lepingu lisa'!$AW$3:$AX$22,2,FALSE),"")</f>
        <v/>
      </c>
      <c r="M72" s="11" t="str">
        <f>IFERROR(VLOOKUP(Tabel1[[#This Row],[Jaotus]],Tabelid!L:M,2,FALSE),"")</f>
        <v>FLOOR</v>
      </c>
      <c r="N72" s="11"/>
      <c r="O72" s="34"/>
      <c r="P72" s="34"/>
      <c r="Q72" s="34"/>
      <c r="R72" s="34"/>
      <c r="S72" s="34"/>
      <c r="T72" s="34"/>
      <c r="U72" s="34"/>
      <c r="V72" s="34"/>
      <c r="W72" s="34"/>
      <c r="X72" s="34"/>
      <c r="Y72" s="34"/>
      <c r="Z72" s="34"/>
      <c r="AA72" s="34"/>
      <c r="AB72" s="34"/>
      <c r="AC72" s="34"/>
      <c r="AD72" s="34"/>
      <c r="AE72" s="34"/>
      <c r="AF72" s="34"/>
      <c r="AG72" s="34"/>
    </row>
    <row r="73" spans="1:33" x14ac:dyDescent="0.25">
      <c r="A73" s="18" t="s">
        <v>166</v>
      </c>
      <c r="B73" s="19" t="s">
        <v>181</v>
      </c>
      <c r="C73" s="18" t="s">
        <v>74</v>
      </c>
      <c r="D73" s="18" t="s">
        <v>177</v>
      </c>
      <c r="E73" s="18" t="s">
        <v>178</v>
      </c>
      <c r="F73" s="53">
        <v>4.8</v>
      </c>
      <c r="G73" s="53"/>
      <c r="H73" s="18"/>
      <c r="I73" s="11" t="str">
        <f>LEFT(Tabel1[[#This Row],[Ruumi tüüp (TALO Tüüpruumide nimestik)]],2)</f>
        <v>72</v>
      </c>
      <c r="J73" s="22" t="s">
        <v>93</v>
      </c>
      <c r="K73" s="18"/>
      <c r="L73" s="11" t="str">
        <f>IFERROR(VLOOKUP(Tabel1[[#This Row],[Üürnik]],'Lepingu lisa'!$AW$3:$AX$22,2,FALSE),"")</f>
        <v/>
      </c>
      <c r="M73" s="11" t="str">
        <f>IFERROR(VLOOKUP(Tabel1[[#This Row],[Jaotus]],Tabelid!L:M,2,FALSE),"")</f>
        <v>FLOOR</v>
      </c>
      <c r="N73" s="11"/>
      <c r="O73" s="34"/>
      <c r="P73" s="34"/>
      <c r="Q73" s="34"/>
      <c r="R73" s="34"/>
      <c r="S73" s="34"/>
      <c r="T73" s="34"/>
      <c r="U73" s="34"/>
      <c r="V73" s="34"/>
      <c r="W73" s="34"/>
      <c r="X73" s="34"/>
      <c r="Y73" s="34"/>
      <c r="Z73" s="34"/>
      <c r="AA73" s="34"/>
      <c r="AB73" s="34"/>
      <c r="AC73" s="34"/>
      <c r="AD73" s="34"/>
      <c r="AE73" s="34"/>
      <c r="AF73" s="34"/>
      <c r="AG73" s="34"/>
    </row>
    <row r="74" spans="1:33" x14ac:dyDescent="0.25">
      <c r="A74" s="18" t="s">
        <v>166</v>
      </c>
      <c r="B74" s="19" t="s">
        <v>182</v>
      </c>
      <c r="C74" s="18" t="s">
        <v>74</v>
      </c>
      <c r="D74" s="18" t="s">
        <v>108</v>
      </c>
      <c r="E74" s="18" t="s">
        <v>109</v>
      </c>
      <c r="F74" s="53">
        <v>1.2</v>
      </c>
      <c r="G74" s="53"/>
      <c r="H74" s="18"/>
      <c r="I74" s="11" t="str">
        <f>LEFT(Tabel1[[#This Row],[Ruumi tüüp (TALO Tüüpruumide nimestik)]],2)</f>
        <v>73</v>
      </c>
      <c r="J74" s="22" t="s">
        <v>93</v>
      </c>
      <c r="K74" s="18"/>
      <c r="L74" s="11" t="str">
        <f>IFERROR(VLOOKUP(Tabel1[[#This Row],[Üürnik]],'Lepingu lisa'!$AW$3:$AX$22,2,FALSE),"")</f>
        <v/>
      </c>
      <c r="M74" s="11" t="str">
        <f>IFERROR(VLOOKUP(Tabel1[[#This Row],[Jaotus]],Tabelid!L:M,2,FALSE),"")</f>
        <v>FLOOR</v>
      </c>
      <c r="N74" s="11"/>
      <c r="O74" s="34"/>
      <c r="P74" s="34"/>
      <c r="Q74" s="34"/>
      <c r="R74" s="34"/>
      <c r="S74" s="34"/>
      <c r="T74" s="34"/>
      <c r="U74" s="34"/>
      <c r="V74" s="34"/>
      <c r="W74" s="34"/>
      <c r="X74" s="34"/>
      <c r="Y74" s="34"/>
      <c r="Z74" s="34"/>
      <c r="AA74" s="34"/>
      <c r="AB74" s="34"/>
      <c r="AC74" s="34"/>
      <c r="AD74" s="34"/>
      <c r="AE74" s="34"/>
      <c r="AF74" s="34"/>
      <c r="AG74" s="34"/>
    </row>
    <row r="75" spans="1:33" x14ac:dyDescent="0.25">
      <c r="A75" s="18" t="s">
        <v>166</v>
      </c>
      <c r="B75" s="19" t="s">
        <v>183</v>
      </c>
      <c r="C75" s="18" t="s">
        <v>74</v>
      </c>
      <c r="D75" s="18" t="s">
        <v>108</v>
      </c>
      <c r="E75" s="18" t="s">
        <v>109</v>
      </c>
      <c r="F75" s="53">
        <v>1.3</v>
      </c>
      <c r="G75" s="53"/>
      <c r="H75" s="18"/>
      <c r="I75" s="11" t="str">
        <f>LEFT(Tabel1[[#This Row],[Ruumi tüüp (TALO Tüüpruumide nimestik)]],2)</f>
        <v>73</v>
      </c>
      <c r="J75" s="22" t="s">
        <v>93</v>
      </c>
      <c r="K75" s="18"/>
      <c r="L75" s="11" t="str">
        <f>IFERROR(VLOOKUP(Tabel1[[#This Row],[Üürnik]],'Lepingu lisa'!$AW$3:$AX$22,2,FALSE),"")</f>
        <v/>
      </c>
      <c r="M75" s="11" t="str">
        <f>IFERROR(VLOOKUP(Tabel1[[#This Row],[Jaotus]],Tabelid!L:M,2,FALSE),"")</f>
        <v>FLOOR</v>
      </c>
      <c r="N75" s="11"/>
      <c r="O75" s="34"/>
      <c r="P75" s="34"/>
      <c r="Q75" s="34"/>
      <c r="R75" s="34"/>
      <c r="S75" s="34"/>
      <c r="T75" s="34"/>
      <c r="U75" s="34"/>
      <c r="V75" s="34"/>
      <c r="W75" s="34"/>
      <c r="X75" s="34"/>
      <c r="Y75" s="34"/>
      <c r="Z75" s="34"/>
      <c r="AA75" s="34"/>
      <c r="AB75" s="34"/>
      <c r="AC75" s="34"/>
      <c r="AD75" s="34"/>
      <c r="AE75" s="34"/>
      <c r="AF75" s="34"/>
      <c r="AG75" s="34"/>
    </row>
    <row r="76" spans="1:33" x14ac:dyDescent="0.25">
      <c r="A76" s="18" t="s">
        <v>166</v>
      </c>
      <c r="B76" s="19" t="s">
        <v>184</v>
      </c>
      <c r="C76" s="18" t="s">
        <v>74</v>
      </c>
      <c r="D76" s="18" t="s">
        <v>98</v>
      </c>
      <c r="E76" s="18" t="s">
        <v>96</v>
      </c>
      <c r="F76" s="53">
        <v>7.1</v>
      </c>
      <c r="G76" s="53"/>
      <c r="H76" s="18"/>
      <c r="I76" s="11" t="str">
        <f>LEFT(Tabel1[[#This Row],[Ruumi tüüp (TALO Tüüpruumide nimestik)]],2)</f>
        <v>21</v>
      </c>
      <c r="J76" s="22" t="s">
        <v>4</v>
      </c>
      <c r="K76" s="18" t="s">
        <v>18</v>
      </c>
      <c r="L76" s="11" t="str">
        <f>IFERROR(VLOOKUP(Tabel1[[#This Row],[Üürnik]],'Lepingu lisa'!$AW$3:$AX$22,2,FALSE),"")</f>
        <v>KESK20POLVA_15</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25">
      <c r="A77" s="18" t="s">
        <v>166</v>
      </c>
      <c r="B77" s="19" t="s">
        <v>185</v>
      </c>
      <c r="C77" s="18" t="s">
        <v>74</v>
      </c>
      <c r="D77" s="18" t="s">
        <v>98</v>
      </c>
      <c r="E77" s="18" t="s">
        <v>96</v>
      </c>
      <c r="F77" s="53">
        <v>19.600000000000001</v>
      </c>
      <c r="G77" s="53"/>
      <c r="H77" s="18"/>
      <c r="I77" s="11" t="str">
        <f>LEFT(Tabel1[[#This Row],[Ruumi tüüp (TALO Tüüpruumide nimestik)]],2)</f>
        <v>21</v>
      </c>
      <c r="J77" s="22" t="s">
        <v>4</v>
      </c>
      <c r="K77" s="18" t="s">
        <v>18</v>
      </c>
      <c r="L77" s="11" t="str">
        <f>IFERROR(VLOOKUP(Tabel1[[#This Row],[Üürnik]],'Lepingu lisa'!$AW$3:$AX$22,2,FALSE),"")</f>
        <v>KESK20POLVA_15</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25">
      <c r="A78" s="18" t="s">
        <v>166</v>
      </c>
      <c r="B78" s="19" t="s">
        <v>186</v>
      </c>
      <c r="C78" s="18" t="s">
        <v>70</v>
      </c>
      <c r="D78" s="18" t="s">
        <v>71</v>
      </c>
      <c r="E78" s="18" t="s">
        <v>72</v>
      </c>
      <c r="F78" s="53">
        <v>14.6</v>
      </c>
      <c r="G78" s="53"/>
      <c r="H78" s="18"/>
      <c r="I78" s="11" t="str">
        <f>LEFT(Tabel1[[#This Row],[Ruumi tüüp (TALO Tüüpruumide nimestik)]],2)</f>
        <v>92</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25">
      <c r="A79" s="18" t="s">
        <v>166</v>
      </c>
      <c r="B79" s="19" t="s">
        <v>187</v>
      </c>
      <c r="C79" s="18" t="s">
        <v>74</v>
      </c>
      <c r="D79" s="18" t="s">
        <v>98</v>
      </c>
      <c r="E79" s="18" t="s">
        <v>96</v>
      </c>
      <c r="F79" s="53">
        <v>7.7</v>
      </c>
      <c r="G79" s="53"/>
      <c r="H79" s="18"/>
      <c r="I79" s="11" t="str">
        <f>LEFT(Tabel1[[#This Row],[Ruumi tüüp (TALO Tüüpruumide nimestik)]],2)</f>
        <v>21</v>
      </c>
      <c r="J79" s="22" t="s">
        <v>4</v>
      </c>
      <c r="K79" s="18" t="s">
        <v>77</v>
      </c>
      <c r="L79" s="11" t="str">
        <f>IFERROR(VLOOKUP(Tabel1[[#This Row],[Üürnik]],'Lepingu lisa'!$AW$3:$AX$22,2,FALSE),"")</f>
        <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25">
      <c r="A80" s="18" t="s">
        <v>166</v>
      </c>
      <c r="B80" s="19" t="s">
        <v>188</v>
      </c>
      <c r="C80" s="18" t="s">
        <v>74</v>
      </c>
      <c r="D80" s="18" t="s">
        <v>111</v>
      </c>
      <c r="E80" s="18" t="s">
        <v>112</v>
      </c>
      <c r="F80" s="53">
        <v>9.1</v>
      </c>
      <c r="G80" s="53"/>
      <c r="H80" s="18"/>
      <c r="I80" s="11" t="str">
        <f>LEFT(Tabel1[[#This Row],[Ruumi tüüp (TALO Tüüpruumide nimestik)]],2)</f>
        <v>53</v>
      </c>
      <c r="J80" s="22" t="s">
        <v>4</v>
      </c>
      <c r="K80" s="18" t="s">
        <v>77</v>
      </c>
      <c r="L80" s="11" t="str">
        <f>IFERROR(VLOOKUP(Tabel1[[#This Row],[Üürnik]],'Lepingu lisa'!$AW$3:$AX$22,2,FALSE),"")</f>
        <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25">
      <c r="A81" s="18" t="s">
        <v>166</v>
      </c>
      <c r="B81" s="19" t="s">
        <v>189</v>
      </c>
      <c r="C81" s="18" t="s">
        <v>74</v>
      </c>
      <c r="D81" s="18" t="s">
        <v>98</v>
      </c>
      <c r="E81" s="18" t="s">
        <v>96</v>
      </c>
      <c r="F81" s="53">
        <v>13.6</v>
      </c>
      <c r="G81" s="53"/>
      <c r="H81" s="18"/>
      <c r="I81" s="11" t="str">
        <f>LEFT(Tabel1[[#This Row],[Ruumi tüüp (TALO Tüüpruumide nimestik)]],2)</f>
        <v>21</v>
      </c>
      <c r="J81" s="22" t="s">
        <v>4</v>
      </c>
      <c r="K81" s="18" t="s">
        <v>18</v>
      </c>
      <c r="L81" s="11" t="str">
        <f>IFERROR(VLOOKUP(Tabel1[[#This Row],[Üürnik]],'Lepingu lisa'!$AW$3:$AX$22,2,FALSE),"")</f>
        <v>KESK20POLVA_15</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25">
      <c r="A82" s="18" t="s">
        <v>166</v>
      </c>
      <c r="B82" s="19" t="s">
        <v>190</v>
      </c>
      <c r="C82" s="18" t="s">
        <v>74</v>
      </c>
      <c r="D82" s="18" t="s">
        <v>98</v>
      </c>
      <c r="E82" s="18" t="s">
        <v>96</v>
      </c>
      <c r="F82" s="53">
        <v>13.3</v>
      </c>
      <c r="G82" s="53"/>
      <c r="H82" s="18"/>
      <c r="I82" s="11" t="str">
        <f>LEFT(Tabel1[[#This Row],[Ruumi tüüp (TALO Tüüpruumide nimestik)]],2)</f>
        <v>21</v>
      </c>
      <c r="J82" s="22" t="s">
        <v>4</v>
      </c>
      <c r="K82" s="18" t="s">
        <v>77</v>
      </c>
      <c r="L82" s="11" t="str">
        <f>IFERROR(VLOOKUP(Tabel1[[#This Row],[Üürnik]],'Lepingu lisa'!$AW$3:$AX$22,2,FALSE),"")</f>
        <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25">
      <c r="A83" s="18" t="s">
        <v>166</v>
      </c>
      <c r="B83" s="19" t="s">
        <v>191</v>
      </c>
      <c r="C83" s="18" t="s">
        <v>74</v>
      </c>
      <c r="D83" s="18" t="s">
        <v>75</v>
      </c>
      <c r="E83" s="18" t="s">
        <v>76</v>
      </c>
      <c r="F83" s="53">
        <v>8.1</v>
      </c>
      <c r="G83" s="53"/>
      <c r="H83" s="18"/>
      <c r="I83" s="11" t="str">
        <f>LEFT(Tabel1[[#This Row],[Ruumi tüüp (TALO Tüüpruumide nimestik)]],2)</f>
        <v>23</v>
      </c>
      <c r="J83" s="22" t="s">
        <v>4</v>
      </c>
      <c r="K83" s="18" t="s">
        <v>18</v>
      </c>
      <c r="L83" s="11" t="str">
        <f>IFERROR(VLOOKUP(Tabel1[[#This Row],[Üürnik]],'Lepingu lisa'!$AW$3:$AX$22,2,FALSE),"")</f>
        <v>KESK20POLVA_15</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25">
      <c r="A84" s="18" t="s">
        <v>166</v>
      </c>
      <c r="B84" s="19" t="s">
        <v>192</v>
      </c>
      <c r="C84" s="18" t="s">
        <v>74</v>
      </c>
      <c r="D84" s="18" t="s">
        <v>98</v>
      </c>
      <c r="E84" s="18" t="s">
        <v>96</v>
      </c>
      <c r="F84" s="53">
        <v>21</v>
      </c>
      <c r="G84" s="53"/>
      <c r="H84" s="18"/>
      <c r="I84" s="11" t="str">
        <f>LEFT(Tabel1[[#This Row],[Ruumi tüüp (TALO Tüüpruumide nimestik)]],2)</f>
        <v>21</v>
      </c>
      <c r="J84" s="22" t="s">
        <v>4</v>
      </c>
      <c r="K84" s="18" t="s">
        <v>18</v>
      </c>
      <c r="L84" s="11" t="str">
        <f>IFERROR(VLOOKUP(Tabel1[[#This Row],[Üürnik]],'Lepingu lisa'!$AW$3:$AX$22,2,FALSE),"")</f>
        <v>KESK20POLVA_15</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25">
      <c r="A85" s="18" t="s">
        <v>166</v>
      </c>
      <c r="B85" s="19" t="s">
        <v>193</v>
      </c>
      <c r="C85" s="18" t="s">
        <v>74</v>
      </c>
      <c r="D85" s="18" t="s">
        <v>98</v>
      </c>
      <c r="E85" s="18" t="s">
        <v>96</v>
      </c>
      <c r="F85" s="53">
        <v>52.4</v>
      </c>
      <c r="G85" s="53"/>
      <c r="H85" s="18"/>
      <c r="I85" s="11" t="str">
        <f>LEFT(Tabel1[[#This Row],[Ruumi tüüp (TALO Tüüpruumide nimestik)]],2)</f>
        <v>21</v>
      </c>
      <c r="J85" s="22" t="s">
        <v>4</v>
      </c>
      <c r="K85" s="18" t="s">
        <v>18</v>
      </c>
      <c r="L85" s="11" t="str">
        <f>IFERROR(VLOOKUP(Tabel1[[#This Row],[Üürnik]],'Lepingu lisa'!$AW$3:$AX$22,2,FALSE),"")</f>
        <v>KESK20POLVA_15</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25">
      <c r="A86" s="18" t="s">
        <v>166</v>
      </c>
      <c r="B86" s="19" t="s">
        <v>194</v>
      </c>
      <c r="C86" s="18" t="s">
        <v>104</v>
      </c>
      <c r="D86" s="18" t="s">
        <v>195</v>
      </c>
      <c r="E86" s="18" t="s">
        <v>196</v>
      </c>
      <c r="F86" s="53">
        <v>3.7</v>
      </c>
      <c r="G86" s="53"/>
      <c r="H86" s="18"/>
      <c r="I86" s="11" t="str">
        <f>LEFT(Tabel1[[#This Row],[Ruumi tüüp (TALO Tüüpruumide nimestik)]],2)</f>
        <v>97</v>
      </c>
      <c r="J86" s="22"/>
      <c r="K86" s="18"/>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25">
      <c r="A87" s="18" t="s">
        <v>166</v>
      </c>
      <c r="B87" s="19" t="s">
        <v>197</v>
      </c>
      <c r="C87" s="18" t="s">
        <v>74</v>
      </c>
      <c r="D87" s="18" t="s">
        <v>98</v>
      </c>
      <c r="E87" s="18" t="s">
        <v>96</v>
      </c>
      <c r="F87" s="53">
        <v>19</v>
      </c>
      <c r="G87" s="53"/>
      <c r="H87" s="18"/>
      <c r="I87" s="11" t="str">
        <f>LEFT(Tabel1[[#This Row],[Ruumi tüüp (TALO Tüüpruumide nimestik)]],2)</f>
        <v>21</v>
      </c>
      <c r="J87" s="22" t="s">
        <v>4</v>
      </c>
      <c r="K87" s="18" t="s">
        <v>10</v>
      </c>
      <c r="L87" s="11" t="str">
        <f>IFERROR(VLOOKUP(Tabel1[[#This Row],[Üürnik]],'Lepingu lisa'!$AW$3:$AX$22,2,FALSE),"")</f>
        <v>KESK20POLVA_20</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row>
    <row r="88" spans="1:33" x14ac:dyDescent="0.25">
      <c r="A88" s="18" t="s">
        <v>166</v>
      </c>
      <c r="B88" s="19" t="s">
        <v>198</v>
      </c>
      <c r="C88" s="18" t="s">
        <v>74</v>
      </c>
      <c r="D88" s="18" t="s">
        <v>98</v>
      </c>
      <c r="E88" s="18" t="s">
        <v>96</v>
      </c>
      <c r="F88" s="53">
        <v>9.8000000000000007</v>
      </c>
      <c r="G88" s="53"/>
      <c r="H88" s="18"/>
      <c r="I88" s="11" t="str">
        <f>LEFT(Tabel1[[#This Row],[Ruumi tüüp (TALO Tüüpruumide nimestik)]],2)</f>
        <v>21</v>
      </c>
      <c r="J88" s="22" t="s">
        <v>4</v>
      </c>
      <c r="K88" s="18" t="s">
        <v>10</v>
      </c>
      <c r="L88" s="11" t="str">
        <f>IFERROR(VLOOKUP(Tabel1[[#This Row],[Üürnik]],'Lepingu lisa'!$AW$3:$AX$22,2,FALSE),"")</f>
        <v>KESK20POLVA_20</v>
      </c>
      <c r="M88" s="11" t="str">
        <f>IFERROR(VLOOKUP(Tabel1[[#This Row],[Jaotus]],Tabelid!L:M,2,FALSE),"")</f>
        <v>NONE</v>
      </c>
      <c r="N88" s="11"/>
      <c r="O88" s="34"/>
      <c r="P88" s="34"/>
      <c r="Q88" s="34"/>
      <c r="R88" s="34"/>
      <c r="S88" s="34"/>
      <c r="T88" s="34"/>
      <c r="U88" s="34"/>
      <c r="V88" s="34"/>
      <c r="W88" s="34"/>
      <c r="X88" s="34"/>
      <c r="Y88" s="34"/>
      <c r="Z88" s="34"/>
      <c r="AA88" s="34"/>
      <c r="AB88" s="34"/>
      <c r="AC88" s="34"/>
      <c r="AD88" s="34"/>
      <c r="AE88" s="34"/>
      <c r="AF88" s="34"/>
      <c r="AG88" s="34"/>
    </row>
    <row r="89" spans="1:33" x14ac:dyDescent="0.25">
      <c r="A89" s="18" t="s">
        <v>166</v>
      </c>
      <c r="B89" s="19" t="s">
        <v>199</v>
      </c>
      <c r="C89" s="18" t="s">
        <v>74</v>
      </c>
      <c r="D89" s="18" t="s">
        <v>98</v>
      </c>
      <c r="E89" s="18" t="s">
        <v>96</v>
      </c>
      <c r="F89" s="53">
        <v>11.3</v>
      </c>
      <c r="G89" s="53"/>
      <c r="H89" s="18"/>
      <c r="I89" s="11" t="str">
        <f>LEFT(Tabel1[[#This Row],[Ruumi tüüp (TALO Tüüpruumide nimestik)]],2)</f>
        <v>21</v>
      </c>
      <c r="J89" s="22" t="s">
        <v>4</v>
      </c>
      <c r="K89" s="18" t="s">
        <v>10</v>
      </c>
      <c r="L89" s="11" t="str">
        <f>IFERROR(VLOOKUP(Tabel1[[#This Row],[Üürnik]],'Lepingu lisa'!$AW$3:$AX$22,2,FALSE),"")</f>
        <v>KESK20POLVA_20</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25">
      <c r="A90" s="18" t="s">
        <v>166</v>
      </c>
      <c r="B90" s="19" t="s">
        <v>200</v>
      </c>
      <c r="C90" s="18" t="s">
        <v>74</v>
      </c>
      <c r="D90" s="18" t="s">
        <v>98</v>
      </c>
      <c r="E90" s="18" t="s">
        <v>96</v>
      </c>
      <c r="F90" s="53">
        <v>13.5</v>
      </c>
      <c r="G90" s="53"/>
      <c r="H90" s="18"/>
      <c r="I90" s="11" t="str">
        <f>LEFT(Tabel1[[#This Row],[Ruumi tüüp (TALO Tüüpruumide nimestik)]],2)</f>
        <v>21</v>
      </c>
      <c r="J90" s="22" t="s">
        <v>4</v>
      </c>
      <c r="K90" s="18" t="s">
        <v>10</v>
      </c>
      <c r="L90" s="11" t="str">
        <f>IFERROR(VLOOKUP(Tabel1[[#This Row],[Üürnik]],'Lepingu lisa'!$AW$3:$AX$22,2,FALSE),"")</f>
        <v>KESK20POLVA_20</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25">
      <c r="A91" s="18" t="s">
        <v>166</v>
      </c>
      <c r="B91" s="19" t="s">
        <v>201</v>
      </c>
      <c r="C91" s="18" t="s">
        <v>74</v>
      </c>
      <c r="D91" s="18" t="s">
        <v>98</v>
      </c>
      <c r="E91" s="18" t="s">
        <v>96</v>
      </c>
      <c r="F91" s="53">
        <v>7.8</v>
      </c>
      <c r="G91" s="53"/>
      <c r="H91" s="18"/>
      <c r="I91" s="11" t="str">
        <f>LEFT(Tabel1[[#This Row],[Ruumi tüüp (TALO Tüüpruumide nimestik)]],2)</f>
        <v>21</v>
      </c>
      <c r="J91" s="22" t="s">
        <v>4</v>
      </c>
      <c r="K91" s="18" t="s">
        <v>77</v>
      </c>
      <c r="L91" s="11" t="str">
        <f>IFERROR(VLOOKUP(Tabel1[[#This Row],[Üürnik]],'Lepingu lisa'!$AW$3:$AX$22,2,FALSE),"")</f>
        <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25">
      <c r="A92" s="18" t="s">
        <v>166</v>
      </c>
      <c r="B92" s="19" t="s">
        <v>202</v>
      </c>
      <c r="C92" s="18" t="s">
        <v>74</v>
      </c>
      <c r="D92" s="18" t="s">
        <v>98</v>
      </c>
      <c r="E92" s="18" t="s">
        <v>96</v>
      </c>
      <c r="F92" s="53">
        <v>20.8</v>
      </c>
      <c r="G92" s="53"/>
      <c r="H92" s="18"/>
      <c r="I92" s="11" t="str">
        <f>LEFT(Tabel1[[#This Row],[Ruumi tüüp (TALO Tüüpruumide nimestik)]],2)</f>
        <v>21</v>
      </c>
      <c r="J92" s="22" t="s">
        <v>4</v>
      </c>
      <c r="K92" s="18" t="s">
        <v>20</v>
      </c>
      <c r="L92" s="11" t="str">
        <f>IFERROR(VLOOKUP(Tabel1[[#This Row],[Üürnik]],'Lepingu lisa'!$AW$3:$AX$22,2,FALSE),"")</f>
        <v>KESK20POLVA_14</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25">
      <c r="A93" s="18" t="s">
        <v>203</v>
      </c>
      <c r="B93" s="19" t="s">
        <v>204</v>
      </c>
      <c r="C93" s="18" t="s">
        <v>70</v>
      </c>
      <c r="D93" s="18" t="s">
        <v>71</v>
      </c>
      <c r="E93" s="18" t="s">
        <v>72</v>
      </c>
      <c r="F93" s="53">
        <v>14.3</v>
      </c>
      <c r="G93" s="53"/>
      <c r="H93" s="18"/>
      <c r="I93" s="11" t="str">
        <f>LEFT(Tabel1[[#This Row],[Ruumi tüüp (TALO Tüüpruumide nimestik)]],2)</f>
        <v>92</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25">
      <c r="A94" s="18" t="s">
        <v>203</v>
      </c>
      <c r="B94" s="19" t="s">
        <v>205</v>
      </c>
      <c r="C94" s="18" t="s">
        <v>74</v>
      </c>
      <c r="D94" s="18" t="s">
        <v>92</v>
      </c>
      <c r="E94" s="18" t="s">
        <v>89</v>
      </c>
      <c r="F94" s="53">
        <v>29.5</v>
      </c>
      <c r="G94" s="53"/>
      <c r="H94" s="18"/>
      <c r="I94" s="11" t="str">
        <f>LEFT(Tabel1[[#This Row],[Ruumi tüüp (TALO Tüüpruumide nimestik)]],2)</f>
        <v>91</v>
      </c>
      <c r="J94" s="22" t="s">
        <v>93</v>
      </c>
      <c r="K94" s="18"/>
      <c r="L94" s="11" t="str">
        <f>IFERROR(VLOOKUP(Tabel1[[#This Row],[Üürnik]],'Lepingu lisa'!$AW$3:$AX$22,2,FALSE),"")</f>
        <v/>
      </c>
      <c r="M94" s="11" t="str">
        <f>IFERROR(VLOOKUP(Tabel1[[#This Row],[Jaotus]],Tabelid!L:M,2,FALSE),"")</f>
        <v>FLOOR</v>
      </c>
      <c r="N94" s="11"/>
      <c r="O94" s="34"/>
      <c r="P94" s="34"/>
      <c r="Q94" s="34"/>
      <c r="R94" s="34"/>
      <c r="S94" s="34"/>
      <c r="T94" s="34"/>
      <c r="U94" s="34"/>
      <c r="V94" s="34"/>
      <c r="W94" s="34"/>
      <c r="X94" s="34"/>
      <c r="Y94" s="34"/>
      <c r="Z94" s="34"/>
      <c r="AA94" s="34"/>
      <c r="AB94" s="34"/>
      <c r="AC94" s="34"/>
      <c r="AD94" s="34"/>
      <c r="AE94" s="34"/>
      <c r="AF94" s="34"/>
      <c r="AG94" s="34"/>
    </row>
    <row r="95" spans="1:33" x14ac:dyDescent="0.25">
      <c r="A95" s="18" t="s">
        <v>203</v>
      </c>
      <c r="B95" s="19" t="s">
        <v>206</v>
      </c>
      <c r="C95" s="18" t="s">
        <v>74</v>
      </c>
      <c r="D95" s="18" t="s">
        <v>98</v>
      </c>
      <c r="E95" s="18" t="s">
        <v>96</v>
      </c>
      <c r="F95" s="53">
        <v>10.3</v>
      </c>
      <c r="G95" s="53"/>
      <c r="H95" s="18"/>
      <c r="I95" s="11" t="str">
        <f>LEFT(Tabel1[[#This Row],[Ruumi tüüp (TALO Tüüpruumide nimestik)]],2)</f>
        <v>21</v>
      </c>
      <c r="J95" s="22" t="s">
        <v>4</v>
      </c>
      <c r="K95" s="18" t="s">
        <v>77</v>
      </c>
      <c r="L95" s="11" t="str">
        <f>IFERROR(VLOOKUP(Tabel1[[#This Row],[Üürnik]],'Lepingu lisa'!$AW$3:$AX$22,2,FALSE),"")</f>
        <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25">
      <c r="A96" s="18" t="s">
        <v>203</v>
      </c>
      <c r="B96" s="19" t="s">
        <v>207</v>
      </c>
      <c r="C96" s="18" t="s">
        <v>74</v>
      </c>
      <c r="D96" s="18" t="s">
        <v>98</v>
      </c>
      <c r="E96" s="18" t="s">
        <v>96</v>
      </c>
      <c r="F96" s="53">
        <v>10.6</v>
      </c>
      <c r="G96" s="53"/>
      <c r="H96" s="18"/>
      <c r="I96" s="11" t="str">
        <f>LEFT(Tabel1[[#This Row],[Ruumi tüüp (TALO Tüüpruumide nimestik)]],2)</f>
        <v>21</v>
      </c>
      <c r="J96" s="22" t="s">
        <v>4</v>
      </c>
      <c r="K96" s="18" t="s">
        <v>22</v>
      </c>
      <c r="L96" s="11" t="str">
        <f>IFERROR(VLOOKUP(Tabel1[[#This Row],[Üürnik]],'Lepingu lisa'!$AW$3:$AX$22,2,FALSE),"")</f>
        <v>KESK20POLVA_13</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row>
    <row r="97" spans="1:33" x14ac:dyDescent="0.25">
      <c r="A97" s="18" t="s">
        <v>203</v>
      </c>
      <c r="B97" s="19" t="s">
        <v>208</v>
      </c>
      <c r="C97" s="18" t="s">
        <v>74</v>
      </c>
      <c r="D97" s="18" t="s">
        <v>98</v>
      </c>
      <c r="E97" s="18" t="s">
        <v>96</v>
      </c>
      <c r="F97" s="53">
        <v>10.6</v>
      </c>
      <c r="G97" s="53"/>
      <c r="H97" s="18"/>
      <c r="I97" s="11" t="str">
        <f>LEFT(Tabel1[[#This Row],[Ruumi tüüp (TALO Tüüpruumide nimestik)]],2)</f>
        <v>21</v>
      </c>
      <c r="J97" s="22" t="s">
        <v>4</v>
      </c>
      <c r="K97" s="18" t="s">
        <v>22</v>
      </c>
      <c r="L97" s="11" t="str">
        <f>IFERROR(VLOOKUP(Tabel1[[#This Row],[Üürnik]],'Lepingu lisa'!$AW$3:$AX$22,2,FALSE),"")</f>
        <v>KESK20POLVA_13</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25">
      <c r="A98" s="18" t="s">
        <v>203</v>
      </c>
      <c r="B98" s="19" t="s">
        <v>209</v>
      </c>
      <c r="C98" s="18" t="s">
        <v>74</v>
      </c>
      <c r="D98" s="18" t="s">
        <v>98</v>
      </c>
      <c r="E98" s="18" t="s">
        <v>96</v>
      </c>
      <c r="F98" s="53">
        <v>13.2</v>
      </c>
      <c r="G98" s="53"/>
      <c r="H98" s="18"/>
      <c r="I98" s="11" t="str">
        <f>LEFT(Tabel1[[#This Row],[Ruumi tüüp (TALO Tüüpruumide nimestik)]],2)</f>
        <v>21</v>
      </c>
      <c r="J98" s="22" t="s">
        <v>4</v>
      </c>
      <c r="K98" s="18" t="s">
        <v>77</v>
      </c>
      <c r="L98" s="11" t="str">
        <f>IFERROR(VLOOKUP(Tabel1[[#This Row],[Üürnik]],'Lepingu lisa'!$AW$3:$AX$22,2,FALSE),"")</f>
        <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25">
      <c r="A99" s="18" t="s">
        <v>203</v>
      </c>
      <c r="B99" s="19" t="s">
        <v>210</v>
      </c>
      <c r="C99" s="18" t="s">
        <v>74</v>
      </c>
      <c r="D99" s="18" t="s">
        <v>75</v>
      </c>
      <c r="E99" s="18" t="s">
        <v>76</v>
      </c>
      <c r="F99" s="53">
        <v>6.4</v>
      </c>
      <c r="G99" s="53"/>
      <c r="H99" s="18"/>
      <c r="I99" s="11" t="str">
        <f>LEFT(Tabel1[[#This Row],[Ruumi tüüp (TALO Tüüpruumide nimestik)]],2)</f>
        <v>23</v>
      </c>
      <c r="J99" s="22" t="s">
        <v>4</v>
      </c>
      <c r="K99" s="18" t="s">
        <v>77</v>
      </c>
      <c r="L99" s="11" t="str">
        <f>IFERROR(VLOOKUP(Tabel1[[#This Row],[Üürnik]],'Lepingu lisa'!$AW$3:$AX$22,2,FALSE),"")</f>
        <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25">
      <c r="A100" s="18" t="s">
        <v>203</v>
      </c>
      <c r="B100" s="19" t="s">
        <v>211</v>
      </c>
      <c r="C100" s="18" t="s">
        <v>70</v>
      </c>
      <c r="D100" s="18" t="s">
        <v>71</v>
      </c>
      <c r="E100" s="18" t="s">
        <v>72</v>
      </c>
      <c r="F100" s="53">
        <v>18.5</v>
      </c>
      <c r="G100" s="53"/>
      <c r="H100" s="18"/>
      <c r="I100" s="11" t="str">
        <f>LEFT(Tabel1[[#This Row],[Ruumi tüüp (TALO Tüüpruumide nimestik)]],2)</f>
        <v>92</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25">
      <c r="A101" s="18" t="s">
        <v>203</v>
      </c>
      <c r="B101" s="19" t="s">
        <v>212</v>
      </c>
      <c r="C101" s="18" t="s">
        <v>74</v>
      </c>
      <c r="D101" s="18" t="s">
        <v>135</v>
      </c>
      <c r="E101" s="18" t="s">
        <v>89</v>
      </c>
      <c r="F101" s="53">
        <v>32.299999999999997</v>
      </c>
      <c r="G101" s="53"/>
      <c r="H101" s="18"/>
      <c r="I101" s="11" t="str">
        <f>LEFT(Tabel1[[#This Row],[Ruumi tüüp (TALO Tüüpruumide nimestik)]],2)</f>
        <v>91</v>
      </c>
      <c r="J101" s="22" t="s">
        <v>93</v>
      </c>
      <c r="K101" s="18"/>
      <c r="L101" s="11" t="str">
        <f>IFERROR(VLOOKUP(Tabel1[[#This Row],[Üürnik]],'Lepingu lisa'!$AW$3:$AX$22,2,FALSE),"")</f>
        <v/>
      </c>
      <c r="M101" s="11" t="str">
        <f>IFERROR(VLOOKUP(Tabel1[[#This Row],[Jaotus]],Tabelid!L:M,2,FALSE),"")</f>
        <v>FLOOR</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25">
      <c r="A102" s="18" t="s">
        <v>203</v>
      </c>
      <c r="B102" s="19" t="s">
        <v>213</v>
      </c>
      <c r="C102" s="18" t="s">
        <v>74</v>
      </c>
      <c r="D102" s="18" t="s">
        <v>95</v>
      </c>
      <c r="E102" s="18" t="s">
        <v>96</v>
      </c>
      <c r="F102" s="53">
        <v>22.9</v>
      </c>
      <c r="G102" s="53"/>
      <c r="H102" s="18"/>
      <c r="I102" s="11" t="str">
        <f>LEFT(Tabel1[[#This Row],[Ruumi tüüp (TALO Tüüpruumide nimestik)]],2)</f>
        <v>21</v>
      </c>
      <c r="J102" s="22" t="s">
        <v>4</v>
      </c>
      <c r="K102" s="18" t="s">
        <v>16</v>
      </c>
      <c r="L102" s="11" t="str">
        <f>IFERROR(VLOOKUP(Tabel1[[#This Row],[Üürnik]],'Lepingu lisa'!$AW$3:$AX$22,2,FALSE),"")</f>
        <v>KESK20POLVA_19</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25">
      <c r="A103" s="18" t="s">
        <v>203</v>
      </c>
      <c r="B103" s="19" t="s">
        <v>214</v>
      </c>
      <c r="C103" s="18" t="s">
        <v>74</v>
      </c>
      <c r="D103" s="18" t="s">
        <v>215</v>
      </c>
      <c r="E103" s="18" t="s">
        <v>216</v>
      </c>
      <c r="F103" s="53">
        <v>9.6</v>
      </c>
      <c r="G103" s="53"/>
      <c r="H103" s="18"/>
      <c r="I103" s="11" t="str">
        <f>LEFT(Tabel1[[#This Row],[Ruumi tüüp (TALO Tüüpruumide nimestik)]],2)</f>
        <v>64</v>
      </c>
      <c r="J103" s="22" t="s">
        <v>4</v>
      </c>
      <c r="K103" s="18" t="s">
        <v>16</v>
      </c>
      <c r="L103" s="11" t="str">
        <f>IFERROR(VLOOKUP(Tabel1[[#This Row],[Üürnik]],'Lepingu lisa'!$AW$3:$AX$22,2,FALSE),"")</f>
        <v>KESK20POLVA_19</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25">
      <c r="A104" s="18" t="s">
        <v>203</v>
      </c>
      <c r="B104" s="19" t="s">
        <v>217</v>
      </c>
      <c r="C104" s="18" t="s">
        <v>74</v>
      </c>
      <c r="D104" s="18" t="s">
        <v>75</v>
      </c>
      <c r="E104" s="18" t="s">
        <v>76</v>
      </c>
      <c r="F104" s="53">
        <v>9.6999999999999993</v>
      </c>
      <c r="G104" s="53"/>
      <c r="H104" s="18"/>
      <c r="I104" s="11" t="str">
        <f>LEFT(Tabel1[[#This Row],[Ruumi tüüp (TALO Tüüpruumide nimestik)]],2)</f>
        <v>23</v>
      </c>
      <c r="J104" s="22" t="s">
        <v>4</v>
      </c>
      <c r="K104" s="18" t="s">
        <v>16</v>
      </c>
      <c r="L104" s="11" t="str">
        <f>IFERROR(VLOOKUP(Tabel1[[#This Row],[Üürnik]],'Lepingu lisa'!$AW$3:$AX$22,2,FALSE),"")</f>
        <v>KESK20POLVA_19</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25">
      <c r="A105" s="18" t="s">
        <v>203</v>
      </c>
      <c r="B105" s="19" t="s">
        <v>218</v>
      </c>
      <c r="C105" s="18" t="s">
        <v>74</v>
      </c>
      <c r="D105" s="18" t="s">
        <v>219</v>
      </c>
      <c r="E105" s="18" t="s">
        <v>220</v>
      </c>
      <c r="F105" s="53">
        <v>66.7</v>
      </c>
      <c r="G105" s="53"/>
      <c r="H105" s="18"/>
      <c r="I105" s="11" t="str">
        <f>LEFT(Tabel1[[#This Row],[Ruumi tüüp (TALO Tüüpruumide nimestik)]],2)</f>
        <v>34</v>
      </c>
      <c r="J105" s="22" t="s">
        <v>4</v>
      </c>
      <c r="K105" s="18" t="s">
        <v>16</v>
      </c>
      <c r="L105" s="11" t="str">
        <f>IFERROR(VLOOKUP(Tabel1[[#This Row],[Üürnik]],'Lepingu lisa'!$AW$3:$AX$22,2,FALSE),"")</f>
        <v>KESK20POLVA_19</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25">
      <c r="A106" s="18" t="s">
        <v>203</v>
      </c>
      <c r="B106" s="19" t="s">
        <v>221</v>
      </c>
      <c r="C106" s="18" t="s">
        <v>70</v>
      </c>
      <c r="D106" s="18" t="s">
        <v>71</v>
      </c>
      <c r="E106" s="18" t="s">
        <v>72</v>
      </c>
      <c r="F106" s="53">
        <v>14.3</v>
      </c>
      <c r="G106" s="53"/>
      <c r="H106" s="18"/>
      <c r="I106" s="11" t="str">
        <f>LEFT(Tabel1[[#This Row],[Ruumi tüüp (TALO Tüüpruumide nimestik)]],2)</f>
        <v>92</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25">
      <c r="A107" s="18" t="s">
        <v>203</v>
      </c>
      <c r="B107" s="19" t="s">
        <v>222</v>
      </c>
      <c r="C107" s="18" t="s">
        <v>74</v>
      </c>
      <c r="D107" s="18" t="s">
        <v>75</v>
      </c>
      <c r="E107" s="18" t="s">
        <v>76</v>
      </c>
      <c r="F107" s="53">
        <v>9.1999999999999993</v>
      </c>
      <c r="G107" s="53"/>
      <c r="H107" s="18"/>
      <c r="I107" s="11" t="str">
        <f>LEFT(Tabel1[[#This Row],[Ruumi tüüp (TALO Tüüpruumide nimestik)]],2)</f>
        <v>23</v>
      </c>
      <c r="J107" s="22" t="s">
        <v>4</v>
      </c>
      <c r="K107" s="18" t="s">
        <v>77</v>
      </c>
      <c r="L107" s="11" t="str">
        <f>IFERROR(VLOOKUP(Tabel1[[#This Row],[Üürnik]],'Lepingu lisa'!$AW$3:$AX$22,2,FALSE),"")</f>
        <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25">
      <c r="A108" s="18" t="s">
        <v>203</v>
      </c>
      <c r="B108" s="19" t="s">
        <v>223</v>
      </c>
      <c r="C108" s="18" t="s">
        <v>74</v>
      </c>
      <c r="D108" s="18" t="s">
        <v>98</v>
      </c>
      <c r="E108" s="18" t="s">
        <v>96</v>
      </c>
      <c r="F108" s="53">
        <v>21.2</v>
      </c>
      <c r="G108" s="53"/>
      <c r="H108" s="18"/>
      <c r="I108" s="11" t="str">
        <f>LEFT(Tabel1[[#This Row],[Ruumi tüüp (TALO Tüüpruumide nimestik)]],2)</f>
        <v>21</v>
      </c>
      <c r="J108" s="22" t="s">
        <v>4</v>
      </c>
      <c r="K108" s="18" t="s">
        <v>77</v>
      </c>
      <c r="L108" s="11" t="str">
        <f>IFERROR(VLOOKUP(Tabel1[[#This Row],[Üürnik]],'Lepingu lisa'!$AW$3:$AX$22,2,FALSE),"")</f>
        <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25">
      <c r="A109" s="18" t="s">
        <v>203</v>
      </c>
      <c r="B109" s="19" t="s">
        <v>224</v>
      </c>
      <c r="C109" s="18" t="s">
        <v>74</v>
      </c>
      <c r="D109" s="18" t="s">
        <v>98</v>
      </c>
      <c r="E109" s="18" t="s">
        <v>96</v>
      </c>
      <c r="F109" s="53">
        <v>16.399999999999999</v>
      </c>
      <c r="G109" s="53"/>
      <c r="H109" s="18"/>
      <c r="I109" s="11" t="str">
        <f>LEFT(Tabel1[[#This Row],[Ruumi tüüp (TALO Tüüpruumide nimestik)]],2)</f>
        <v>21</v>
      </c>
      <c r="J109" s="22" t="s">
        <v>4</v>
      </c>
      <c r="K109" s="18" t="s">
        <v>77</v>
      </c>
      <c r="L109" s="11" t="str">
        <f>IFERROR(VLOOKUP(Tabel1[[#This Row],[Üürnik]],'Lepingu lisa'!$AW$3:$AX$22,2,FALSE),"")</f>
        <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25">
      <c r="A110" s="18" t="s">
        <v>203</v>
      </c>
      <c r="B110" s="19" t="s">
        <v>225</v>
      </c>
      <c r="C110" s="18" t="s">
        <v>74</v>
      </c>
      <c r="D110" s="18" t="s">
        <v>111</v>
      </c>
      <c r="E110" s="18" t="s">
        <v>112</v>
      </c>
      <c r="F110" s="53">
        <v>16.2</v>
      </c>
      <c r="G110" s="53"/>
      <c r="H110" s="18"/>
      <c r="I110" s="11" t="str">
        <f>LEFT(Tabel1[[#This Row],[Ruumi tüüp (TALO Tüüpruumide nimestik)]],2)</f>
        <v>53</v>
      </c>
      <c r="J110" s="22" t="s">
        <v>4</v>
      </c>
      <c r="K110" s="18" t="s">
        <v>77</v>
      </c>
      <c r="L110" s="11" t="str">
        <f>IFERROR(VLOOKUP(Tabel1[[#This Row],[Üürnik]],'Lepingu lisa'!$AW$3:$AX$22,2,FALSE),"")</f>
        <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25">
      <c r="A111" s="18" t="s">
        <v>203</v>
      </c>
      <c r="B111" s="19" t="s">
        <v>226</v>
      </c>
      <c r="C111" s="18" t="s">
        <v>74</v>
      </c>
      <c r="D111" s="18" t="s">
        <v>98</v>
      </c>
      <c r="E111" s="18" t="s">
        <v>96</v>
      </c>
      <c r="F111" s="53">
        <v>21.8</v>
      </c>
      <c r="G111" s="53"/>
      <c r="H111" s="18"/>
      <c r="I111" s="11" t="str">
        <f>LEFT(Tabel1[[#This Row],[Ruumi tüüp (TALO Tüüpruumide nimestik)]],2)</f>
        <v>21</v>
      </c>
      <c r="J111" s="22" t="s">
        <v>4</v>
      </c>
      <c r="K111" s="18" t="s">
        <v>77</v>
      </c>
      <c r="L111" s="11" t="str">
        <f>IFERROR(VLOOKUP(Tabel1[[#This Row],[Üürnik]],'Lepingu lisa'!$AW$3:$AX$22,2,FALSE),"")</f>
        <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25">
      <c r="A112" s="18" t="s">
        <v>203</v>
      </c>
      <c r="B112" s="19" t="s">
        <v>227</v>
      </c>
      <c r="C112" s="18" t="s">
        <v>74</v>
      </c>
      <c r="D112" s="18" t="s">
        <v>98</v>
      </c>
      <c r="E112" s="18" t="s">
        <v>96</v>
      </c>
      <c r="F112" s="53">
        <v>19.5</v>
      </c>
      <c r="G112" s="53"/>
      <c r="H112" s="18"/>
      <c r="I112" s="11" t="str">
        <f>LEFT(Tabel1[[#This Row],[Ruumi tüüp (TALO Tüüpruumide nimestik)]],2)</f>
        <v>21</v>
      </c>
      <c r="J112" s="22" t="s">
        <v>4</v>
      </c>
      <c r="K112" s="18" t="s">
        <v>77</v>
      </c>
      <c r="L112" s="11" t="str">
        <f>IFERROR(VLOOKUP(Tabel1[[#This Row],[Üürnik]],'Lepingu lisa'!$AW$3:$AX$22,2,FALSE),"")</f>
        <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25">
      <c r="A113" s="18" t="s">
        <v>203</v>
      </c>
      <c r="B113" s="19" t="s">
        <v>228</v>
      </c>
      <c r="C113" s="18" t="s">
        <v>74</v>
      </c>
      <c r="D113" s="18" t="s">
        <v>98</v>
      </c>
      <c r="E113" s="18" t="s">
        <v>96</v>
      </c>
      <c r="F113" s="53">
        <v>8</v>
      </c>
      <c r="G113" s="53"/>
      <c r="H113" s="18"/>
      <c r="I113" s="11" t="str">
        <f>LEFT(Tabel1[[#This Row],[Ruumi tüüp (TALO Tüüpruumide nimestik)]],2)</f>
        <v>21</v>
      </c>
      <c r="J113" s="22" t="s">
        <v>4</v>
      </c>
      <c r="K113" s="18" t="s">
        <v>77</v>
      </c>
      <c r="L113" s="11" t="str">
        <f>IFERROR(VLOOKUP(Tabel1[[#This Row],[Üürnik]],'Lepingu lisa'!$AW$3:$AX$22,2,FALSE),"")</f>
        <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25">
      <c r="A114" s="18" t="s">
        <v>203</v>
      </c>
      <c r="B114" s="19" t="s">
        <v>229</v>
      </c>
      <c r="C114" s="18" t="s">
        <v>74</v>
      </c>
      <c r="D114" s="18" t="s">
        <v>98</v>
      </c>
      <c r="E114" s="18" t="s">
        <v>96</v>
      </c>
      <c r="F114" s="53">
        <v>13.1</v>
      </c>
      <c r="G114" s="53"/>
      <c r="H114" s="18"/>
      <c r="I114" s="11" t="str">
        <f>LEFT(Tabel1[[#This Row],[Ruumi tüüp (TALO Tüüpruumide nimestik)]],2)</f>
        <v>21</v>
      </c>
      <c r="J114" s="22" t="s">
        <v>4</v>
      </c>
      <c r="K114" s="18" t="s">
        <v>77</v>
      </c>
      <c r="L114" s="11" t="str">
        <f>IFERROR(VLOOKUP(Tabel1[[#This Row],[Üürnik]],'Lepingu lisa'!$AW$3:$AX$22,2,FALSE),"")</f>
        <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25">
      <c r="A115" s="18" t="s">
        <v>203</v>
      </c>
      <c r="B115" s="19" t="s">
        <v>230</v>
      </c>
      <c r="C115" s="18" t="s">
        <v>74</v>
      </c>
      <c r="D115" s="18" t="s">
        <v>98</v>
      </c>
      <c r="E115" s="18" t="s">
        <v>96</v>
      </c>
      <c r="F115" s="53">
        <v>21.5</v>
      </c>
      <c r="G115" s="53"/>
      <c r="H115" s="18"/>
      <c r="I115" s="11" t="str">
        <f>LEFT(Tabel1[[#This Row],[Ruumi tüüp (TALO Tüüpruumide nimestik)]],2)</f>
        <v>21</v>
      </c>
      <c r="J115" s="22" t="s">
        <v>4</v>
      </c>
      <c r="K115" s="18" t="s">
        <v>22</v>
      </c>
      <c r="L115" s="11" t="str">
        <f>IFERROR(VLOOKUP(Tabel1[[#This Row],[Üürnik]],'Lepingu lisa'!$AW$3:$AX$22,2,FALSE),"")</f>
        <v>KESK20POLVA_13</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25">
      <c r="A116" s="18" t="s">
        <v>203</v>
      </c>
      <c r="B116" s="19" t="s">
        <v>231</v>
      </c>
      <c r="C116" s="18" t="s">
        <v>74</v>
      </c>
      <c r="D116" s="18" t="s">
        <v>98</v>
      </c>
      <c r="E116" s="18" t="s">
        <v>96</v>
      </c>
      <c r="F116" s="53">
        <v>20.8</v>
      </c>
      <c r="G116" s="53"/>
      <c r="H116" s="18"/>
      <c r="I116" s="11" t="str">
        <f>LEFT(Tabel1[[#This Row],[Ruumi tüüp (TALO Tüüpruumide nimestik)]],2)</f>
        <v>21</v>
      </c>
      <c r="J116" s="22" t="s">
        <v>4</v>
      </c>
      <c r="K116" s="18" t="s">
        <v>77</v>
      </c>
      <c r="L116" s="11" t="str">
        <f>IFERROR(VLOOKUP(Tabel1[[#This Row],[Üürnik]],'Lepingu lisa'!$AW$3:$AX$22,2,FALSE),"")</f>
        <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25">
      <c r="A117" s="18" t="s">
        <v>31</v>
      </c>
      <c r="B117" s="19" t="s">
        <v>232</v>
      </c>
      <c r="C117" s="18" t="s">
        <v>70</v>
      </c>
      <c r="D117" s="18" t="s">
        <v>71</v>
      </c>
      <c r="E117" s="18" t="s">
        <v>72</v>
      </c>
      <c r="F117" s="53">
        <v>11.7</v>
      </c>
      <c r="G117" s="53"/>
      <c r="H117" s="18"/>
      <c r="I117" s="11" t="str">
        <f>LEFT(Tabel1[[#This Row],[Ruumi tüüp (TALO Tüüpruumide nimestik)]],2)</f>
        <v>92</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25">
      <c r="A118" s="18" t="s">
        <v>31</v>
      </c>
      <c r="B118" s="19" t="s">
        <v>233</v>
      </c>
      <c r="C118" s="18" t="s">
        <v>74</v>
      </c>
      <c r="D118" s="18" t="s">
        <v>92</v>
      </c>
      <c r="E118" s="18" t="s">
        <v>89</v>
      </c>
      <c r="F118" s="53">
        <v>46.6</v>
      </c>
      <c r="G118" s="53"/>
      <c r="H118" s="18"/>
      <c r="I118" s="11" t="str">
        <f>LEFT(Tabel1[[#This Row],[Ruumi tüüp (TALO Tüüpruumide nimestik)]],2)</f>
        <v>91</v>
      </c>
      <c r="J118" s="22" t="s">
        <v>93</v>
      </c>
      <c r="K118" s="18"/>
      <c r="L118" s="11" t="str">
        <f>IFERROR(VLOOKUP(Tabel1[[#This Row],[Üürnik]],'Lepingu lisa'!$AW$3:$AX$22,2,FALSE),"")</f>
        <v/>
      </c>
      <c r="M118" s="11" t="str">
        <f>IFERROR(VLOOKUP(Tabel1[[#This Row],[Jaotus]],Tabelid!L:M,2,FALSE),"")</f>
        <v>FLOOR</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25">
      <c r="A119" s="18" t="s">
        <v>31</v>
      </c>
      <c r="B119" s="19" t="s">
        <v>234</v>
      </c>
      <c r="C119" s="18" t="s">
        <v>74</v>
      </c>
      <c r="D119" s="18" t="s">
        <v>111</v>
      </c>
      <c r="E119" s="18" t="s">
        <v>112</v>
      </c>
      <c r="F119" s="53">
        <v>7.4</v>
      </c>
      <c r="G119" s="53"/>
      <c r="H119" s="18"/>
      <c r="I119" s="11" t="str">
        <f>LEFT(Tabel1[[#This Row],[Ruumi tüüp (TALO Tüüpruumide nimestik)]],2)</f>
        <v>53</v>
      </c>
      <c r="J119" s="22" t="s">
        <v>4</v>
      </c>
      <c r="K119" s="18" t="s">
        <v>77</v>
      </c>
      <c r="L119" s="11" t="str">
        <f>IFERROR(VLOOKUP(Tabel1[[#This Row],[Üürnik]],'Lepingu lisa'!$AW$3:$AX$22,2,FALSE),"")</f>
        <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25">
      <c r="A120" s="18" t="s">
        <v>31</v>
      </c>
      <c r="B120" s="19" t="s">
        <v>235</v>
      </c>
      <c r="C120" s="18" t="s">
        <v>74</v>
      </c>
      <c r="D120" s="18" t="s">
        <v>98</v>
      </c>
      <c r="E120" s="18" t="s">
        <v>96</v>
      </c>
      <c r="F120" s="53">
        <v>17.399999999999999</v>
      </c>
      <c r="G120" s="53"/>
      <c r="H120" s="18"/>
      <c r="I120" s="11" t="str">
        <f>LEFT(Tabel1[[#This Row],[Ruumi tüüp (TALO Tüüpruumide nimestik)]],2)</f>
        <v>21</v>
      </c>
      <c r="J120" s="22" t="s">
        <v>4</v>
      </c>
      <c r="K120" s="18" t="s">
        <v>24</v>
      </c>
      <c r="L120" s="11" t="str">
        <f>IFERROR(VLOOKUP(Tabel1[[#This Row],[Üürnik]],'Lepingu lisa'!$AW$3:$AX$22,2,FALSE),"")</f>
        <v>KESK20POLVA_16</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25">
      <c r="A121" s="18" t="s">
        <v>31</v>
      </c>
      <c r="B121" s="19" t="s">
        <v>236</v>
      </c>
      <c r="C121" s="18" t="s">
        <v>74</v>
      </c>
      <c r="D121" s="18" t="s">
        <v>98</v>
      </c>
      <c r="E121" s="18" t="s">
        <v>96</v>
      </c>
      <c r="F121" s="53">
        <v>15.6</v>
      </c>
      <c r="G121" s="53"/>
      <c r="H121" s="18"/>
      <c r="I121" s="11" t="str">
        <f>LEFT(Tabel1[[#This Row],[Ruumi tüüp (TALO Tüüpruumide nimestik)]],2)</f>
        <v>21</v>
      </c>
      <c r="J121" s="22" t="s">
        <v>4</v>
      </c>
      <c r="K121" s="18" t="s">
        <v>24</v>
      </c>
      <c r="L121" s="11" t="str">
        <f>IFERROR(VLOOKUP(Tabel1[[#This Row],[Üürnik]],'Lepingu lisa'!$AW$3:$AX$22,2,FALSE),"")</f>
        <v>KESK20POLVA_16</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25">
      <c r="A122" s="18" t="s">
        <v>31</v>
      </c>
      <c r="B122" s="19" t="s">
        <v>237</v>
      </c>
      <c r="C122" s="18" t="s">
        <v>74</v>
      </c>
      <c r="D122" s="18" t="s">
        <v>108</v>
      </c>
      <c r="E122" s="18" t="s">
        <v>109</v>
      </c>
      <c r="F122" s="53">
        <v>3.8</v>
      </c>
      <c r="G122" s="53"/>
      <c r="H122" s="18"/>
      <c r="I122" s="11" t="str">
        <f>LEFT(Tabel1[[#This Row],[Ruumi tüüp (TALO Tüüpruumide nimestik)]],2)</f>
        <v>73</v>
      </c>
      <c r="J122" s="22" t="s">
        <v>93</v>
      </c>
      <c r="K122" s="18"/>
      <c r="L122" s="11" t="str">
        <f>IFERROR(VLOOKUP(Tabel1[[#This Row],[Üürnik]],'Lepingu lisa'!$AW$3:$AX$22,2,FALSE),"")</f>
        <v/>
      </c>
      <c r="M122" s="11" t="str">
        <f>IFERROR(VLOOKUP(Tabel1[[#This Row],[Jaotus]],Tabelid!L:M,2,FALSE),"")</f>
        <v>FLOOR</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25">
      <c r="A123" s="18" t="s">
        <v>31</v>
      </c>
      <c r="B123" s="19" t="s">
        <v>238</v>
      </c>
      <c r="C123" s="18" t="s">
        <v>74</v>
      </c>
      <c r="D123" s="18" t="s">
        <v>98</v>
      </c>
      <c r="E123" s="18" t="s">
        <v>96</v>
      </c>
      <c r="F123" s="53">
        <v>38.200000000000003</v>
      </c>
      <c r="G123" s="53"/>
      <c r="H123" s="18"/>
      <c r="I123" s="11" t="str">
        <f>LEFT(Tabel1[[#This Row],[Ruumi tüüp (TALO Tüüpruumide nimestik)]],2)</f>
        <v>21</v>
      </c>
      <c r="J123" s="22" t="s">
        <v>4</v>
      </c>
      <c r="K123" s="18" t="s">
        <v>24</v>
      </c>
      <c r="L123" s="11" t="str">
        <f>IFERROR(VLOOKUP(Tabel1[[#This Row],[Üürnik]],'Lepingu lisa'!$AW$3:$AX$22,2,FALSE),"")</f>
        <v>KESK20POLVA_16</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25">
      <c r="A124" s="18" t="s">
        <v>31</v>
      </c>
      <c r="B124" s="19" t="s">
        <v>239</v>
      </c>
      <c r="C124" s="18" t="s">
        <v>104</v>
      </c>
      <c r="D124" s="18" t="s">
        <v>124</v>
      </c>
      <c r="E124" s="18" t="s">
        <v>125</v>
      </c>
      <c r="F124" s="53">
        <v>102.8</v>
      </c>
      <c r="G124" s="53"/>
      <c r="H124" s="18"/>
      <c r="I124" s="11" t="str">
        <f>LEFT(Tabel1[[#This Row],[Ruumi tüüp (TALO Tüüpruumide nimestik)]],2)</f>
        <v>96</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25">
      <c r="A125" s="18" t="s">
        <v>31</v>
      </c>
      <c r="B125" s="19" t="s">
        <v>240</v>
      </c>
      <c r="C125" s="18" t="s">
        <v>70</v>
      </c>
      <c r="D125" s="18" t="s">
        <v>71</v>
      </c>
      <c r="E125" s="18" t="s">
        <v>72</v>
      </c>
      <c r="F125" s="53">
        <v>11.9</v>
      </c>
      <c r="G125" s="53"/>
      <c r="H125" s="18"/>
      <c r="I125" s="11" t="str">
        <f>LEFT(Tabel1[[#This Row],[Ruumi tüüp (TALO Tüüpruumide nimestik)]],2)</f>
        <v>92</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25">
      <c r="A126" s="18" t="s">
        <v>31</v>
      </c>
      <c r="B126" s="19" t="s">
        <v>241</v>
      </c>
      <c r="C126" s="18" t="s">
        <v>74</v>
      </c>
      <c r="D126" s="18" t="s">
        <v>75</v>
      </c>
      <c r="E126" s="18" t="s">
        <v>76</v>
      </c>
      <c r="F126" s="53">
        <v>9.4</v>
      </c>
      <c r="G126" s="53"/>
      <c r="H126" s="18"/>
      <c r="I126" s="11" t="str">
        <f>LEFT(Tabel1[[#This Row],[Ruumi tüüp (TALO Tüüpruumide nimestik)]],2)</f>
        <v>23</v>
      </c>
      <c r="J126" s="22" t="s">
        <v>4</v>
      </c>
      <c r="K126" s="18" t="s">
        <v>77</v>
      </c>
      <c r="L126" s="11" t="str">
        <f>IFERROR(VLOOKUP(Tabel1[[#This Row],[Üürnik]],'Lepingu lisa'!$AW$3:$AX$22,2,FALSE),"")</f>
        <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25">
      <c r="A127" s="18" t="s">
        <v>31</v>
      </c>
      <c r="B127" s="19" t="s">
        <v>242</v>
      </c>
      <c r="C127" s="18" t="s">
        <v>74</v>
      </c>
      <c r="D127" s="18" t="s">
        <v>98</v>
      </c>
      <c r="E127" s="18" t="s">
        <v>96</v>
      </c>
      <c r="F127" s="53">
        <v>39.799999999999997</v>
      </c>
      <c r="G127" s="53"/>
      <c r="H127" s="18"/>
      <c r="I127" s="11" t="str">
        <f>LEFT(Tabel1[[#This Row],[Ruumi tüüp (TALO Tüüpruumide nimestik)]],2)</f>
        <v>21</v>
      </c>
      <c r="J127" s="22" t="s">
        <v>4</v>
      </c>
      <c r="K127" s="18" t="s">
        <v>24</v>
      </c>
      <c r="L127" s="11" t="str">
        <f>IFERROR(VLOOKUP(Tabel1[[#This Row],[Üürnik]],'Lepingu lisa'!$AW$3:$AX$22,2,FALSE),"")</f>
        <v>KESK20POLVA_16</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25">
      <c r="A128" s="18" t="s">
        <v>31</v>
      </c>
      <c r="B128" s="19" t="s">
        <v>243</v>
      </c>
      <c r="C128" s="18" t="s">
        <v>74</v>
      </c>
      <c r="D128" s="18" t="s">
        <v>75</v>
      </c>
      <c r="E128" s="18" t="s">
        <v>76</v>
      </c>
      <c r="F128" s="53">
        <v>4.8</v>
      </c>
      <c r="G128" s="53"/>
      <c r="H128" s="18"/>
      <c r="I128" s="11" t="str">
        <f>LEFT(Tabel1[[#This Row],[Ruumi tüüp (TALO Tüüpruumide nimestik)]],2)</f>
        <v>23</v>
      </c>
      <c r="J128" s="22" t="s">
        <v>4</v>
      </c>
      <c r="K128" s="18" t="s">
        <v>77</v>
      </c>
      <c r="L128" s="11" t="str">
        <f>IFERROR(VLOOKUP(Tabel1[[#This Row],[Üürnik]],'Lepingu lisa'!$AW$3:$AX$22,2,FALSE),"")</f>
        <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25">
      <c r="A129" s="18" t="s">
        <v>31</v>
      </c>
      <c r="B129" s="19" t="s">
        <v>244</v>
      </c>
      <c r="C129" s="18" t="s">
        <v>74</v>
      </c>
      <c r="D129" s="18" t="s">
        <v>98</v>
      </c>
      <c r="E129" s="18" t="s">
        <v>96</v>
      </c>
      <c r="F129" s="53">
        <v>17.3</v>
      </c>
      <c r="G129" s="53"/>
      <c r="H129" s="18"/>
      <c r="I129" s="11" t="str">
        <f>LEFT(Tabel1[[#This Row],[Ruumi tüüp (TALO Tüüpruumide nimestik)]],2)</f>
        <v>21</v>
      </c>
      <c r="J129" s="22" t="s">
        <v>4</v>
      </c>
      <c r="K129" s="18" t="s">
        <v>24</v>
      </c>
      <c r="L129" s="11" t="str">
        <f>IFERROR(VLOOKUP(Tabel1[[#This Row],[Üürnik]],'Lepingu lisa'!$AW$3:$AX$22,2,FALSE),"")</f>
        <v>KESK20POLVA_16</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25">
      <c r="A130" s="18" t="s">
        <v>31</v>
      </c>
      <c r="B130" s="19" t="s">
        <v>245</v>
      </c>
      <c r="C130" s="18" t="s">
        <v>74</v>
      </c>
      <c r="D130" s="18" t="s">
        <v>98</v>
      </c>
      <c r="E130" s="18" t="s">
        <v>96</v>
      </c>
      <c r="F130" s="53">
        <v>17.600000000000001</v>
      </c>
      <c r="G130" s="53"/>
      <c r="H130" s="18"/>
      <c r="I130" s="11" t="str">
        <f>LEFT(Tabel1[[#This Row],[Ruumi tüüp (TALO Tüüpruumide nimestik)]],2)</f>
        <v>21</v>
      </c>
      <c r="J130" s="22" t="s">
        <v>4</v>
      </c>
      <c r="K130" s="18" t="s">
        <v>24</v>
      </c>
      <c r="L130" s="11" t="str">
        <f>IFERROR(VLOOKUP(Tabel1[[#This Row],[Üürnik]],'Lepingu lisa'!$AW$3:$AX$22,2,FALSE),"")</f>
        <v>KESK20POLVA_16</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25">
      <c r="A131" s="18" t="s">
        <v>31</v>
      </c>
      <c r="B131" s="19" t="s">
        <v>246</v>
      </c>
      <c r="C131" s="18" t="s">
        <v>74</v>
      </c>
      <c r="D131" s="18" t="s">
        <v>98</v>
      </c>
      <c r="E131" s="18" t="s">
        <v>96</v>
      </c>
      <c r="F131" s="53">
        <v>17.7</v>
      </c>
      <c r="G131" s="53"/>
      <c r="H131" s="18"/>
      <c r="I131" s="11" t="str">
        <f>LEFT(Tabel1[[#This Row],[Ruumi tüüp (TALO Tüüpruumide nimestik)]],2)</f>
        <v>21</v>
      </c>
      <c r="J131" s="22" t="s">
        <v>4</v>
      </c>
      <c r="K131" s="18" t="s">
        <v>12</v>
      </c>
      <c r="L131" s="11" t="str">
        <f>IFERROR(VLOOKUP(Tabel1[[#This Row],[Üürnik]],'Lepingu lisa'!$AW$3:$AX$22,2,FALSE),"")</f>
        <v>KESK20POLVA_17</v>
      </c>
      <c r="M131" s="11" t="str">
        <f>IFERROR(VLOOKUP(Tabel1[[#This Row],[Jaotus]],Tabelid!L:M,2,FALSE),"")</f>
        <v>NONE</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25">
      <c r="A132" s="18" t="s">
        <v>31</v>
      </c>
      <c r="B132" s="19" t="s">
        <v>247</v>
      </c>
      <c r="C132" s="18" t="s">
        <v>74</v>
      </c>
      <c r="D132" s="18" t="s">
        <v>85</v>
      </c>
      <c r="E132" s="18" t="s">
        <v>86</v>
      </c>
      <c r="F132" s="53">
        <v>15.9</v>
      </c>
      <c r="G132" s="53"/>
      <c r="H132" s="18"/>
      <c r="I132" s="11" t="str">
        <f>LEFT(Tabel1[[#This Row],[Ruumi tüüp (TALO Tüüpruumide nimestik)]],2)</f>
        <v>75</v>
      </c>
      <c r="J132" s="22" t="s">
        <v>4</v>
      </c>
      <c r="K132" s="18" t="s">
        <v>14</v>
      </c>
      <c r="L132" s="11" t="str">
        <f>IFERROR(VLOOKUP(Tabel1[[#This Row],[Üürnik]],'Lepingu lisa'!$AW$3:$AX$22,2,FALSE),"")</f>
        <v>KESK20POLVA_18</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25">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25">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25">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25">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25">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25">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25">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25">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25">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25">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25">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25">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25">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25">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25">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25">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25">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25">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25">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25">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25">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25">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25">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25">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25">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25">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25">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25">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25">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25">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25">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25">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25">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25">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25">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25">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25">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25">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25">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25">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25">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25">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25">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25">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25">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25">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25">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25">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25">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25">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25">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25">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25">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25">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25">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25">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25">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25">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25">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25">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25">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25">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25">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25">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25">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25">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25">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25">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25">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25">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25">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25">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25">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25">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25">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25">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25">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25">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2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2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2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2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2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2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2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2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2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2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2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2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2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2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2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2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2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2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2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2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2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2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2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2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2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2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2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2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2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2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2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2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2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2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2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2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2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2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2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2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2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2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2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2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2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2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2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2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2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2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2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2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2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2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2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2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2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2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2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2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2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2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2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2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2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2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2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2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2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2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2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2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2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2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2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2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2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2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2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2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2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2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2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2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2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2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2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2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2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2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2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2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2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2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2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2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2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2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2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2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2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2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2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2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2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2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2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2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2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2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2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2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2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2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2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2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2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2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2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2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2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2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2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2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2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2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2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2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2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2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2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2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2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2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2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2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2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2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2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2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2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2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2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2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2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2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2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2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2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2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2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2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2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2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2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2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2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2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2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2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2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2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2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2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2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2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2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2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2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2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2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2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2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2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2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2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2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2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2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2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2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2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2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2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2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2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2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2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2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2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2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2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2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2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2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2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2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2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2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2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2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2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2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2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2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2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2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2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2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2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2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2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2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2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2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2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2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2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2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2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2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2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2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2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2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2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2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2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2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2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2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2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2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2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2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2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2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2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2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2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2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2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2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2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2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2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2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2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2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2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2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2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2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2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2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2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2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2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2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2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2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2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2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2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2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2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2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2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2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2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2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2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2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2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2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2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2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2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2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2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2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2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2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2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2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2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2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2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2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2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2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2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2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2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2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2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2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2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2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2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2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2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2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2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2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2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2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2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2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2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2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2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2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2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2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2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2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2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2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2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2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2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2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2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2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2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2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2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2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2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2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2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2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2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2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2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2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2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2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2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2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2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2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2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2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2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2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2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2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2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2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2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2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2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2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2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2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2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2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2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2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2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2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2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2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2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2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2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2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2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2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2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2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2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2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2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2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2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2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2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2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2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2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2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2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2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2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2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2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2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2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2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2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2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2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2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2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2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2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2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2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2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2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2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2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2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2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2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2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2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2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2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2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2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2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2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2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2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2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2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2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2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2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2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2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2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2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2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2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2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2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2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2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2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2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2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2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2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2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2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2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2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2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2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2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2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2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2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2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2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2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2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2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2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2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2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2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2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2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2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2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2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2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2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2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2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2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2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2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2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2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2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2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2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2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2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2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2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2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2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2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2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2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2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2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2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2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2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2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2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2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2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2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2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2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2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2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2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2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2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2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2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2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2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2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2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2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2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2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2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2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2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2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2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2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2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2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2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2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2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2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2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2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2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2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2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2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2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2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2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2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2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2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2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2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2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2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2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2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2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2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2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2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2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2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2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2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2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2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2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2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2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2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2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2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2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2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2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2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2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2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2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2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2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2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2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2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2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2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2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2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2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2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2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2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2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2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2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2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2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2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2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2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2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2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2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2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2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2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2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2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2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2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2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2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2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2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2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2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2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2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2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2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2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2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2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2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2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2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2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2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2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2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2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2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2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2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2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2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2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2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2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2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2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2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2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2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2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2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2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2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2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2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2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2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2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2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2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2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2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2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2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2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2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2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2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2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2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2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2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2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2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2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2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2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2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2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2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2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2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2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2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2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2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2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2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2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2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2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2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2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2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2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2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2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2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2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2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2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2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2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2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2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2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2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2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2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2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2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2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2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2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2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2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2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2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2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2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2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2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2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2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2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2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2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2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2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2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2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2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2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2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2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2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2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2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2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2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2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2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2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2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2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2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2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2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2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2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2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2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2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2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2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2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2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2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2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2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2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2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2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2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2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2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2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2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2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2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2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2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2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2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2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2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2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2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2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2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2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2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2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2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2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2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2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2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2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2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2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2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2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2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2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2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2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2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2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2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2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2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2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2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2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2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2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2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2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2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2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2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2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2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2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105">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02"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87"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03"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1" id="{1DBBF469-D168-4F5A-B61E-1CC71E686FAF}">
            <xm:f>OR(AND($J4=Tabelid!$L$1,$K4=""),AND($J4&lt;&gt;Tabelid!$L$1,$K4&lt;&gt;""))</xm:f>
            <x14:dxf>
              <fill>
                <patternFill>
                  <bgColor rgb="FFFF0000"/>
                </patternFill>
              </fill>
            </x14:dxf>
          </x14:cfRule>
          <x14:cfRule type="expression" priority="2" id="{9C229EE9-F562-4D65-8BBD-0C865AD1534C}">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89"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91"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85" id="{A0716F3A-E2F5-4B35-9B95-355701E82439}">
            <xm:f>AND(NOT(OR(AND($J4=Tabelid!$L$6,NOT(O$3="")),AND($J4=Tabelid!$L$5,NOT(O$3=""),COUNTIFS($K:$K,O$3)&gt;0),AND($J4=Tabelid!$L$4,NOT(O$3=""),COUNTIFS($K$4:$K$1002,O$3,$A$4:$A$1002,$A4)&gt;0))),O4&lt;&gt;"")</xm:f>
            <x14:dxf>
              <fill>
                <patternFill>
                  <bgColor rgb="FFFF0000"/>
                </patternFill>
              </fill>
            </x14:dxf>
          </x14:cfRule>
          <x14:cfRule type="expression" priority="93"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85546875" style="1" customWidth="1"/>
    <col min="2" max="2" width="62.85546875" style="1" customWidth="1"/>
    <col min="3" max="3" width="34.5703125" bestFit="1" customWidth="1"/>
    <col min="4" max="4" width="74.5703125" bestFit="1" customWidth="1"/>
  </cols>
  <sheetData>
    <row r="1" spans="1:4" x14ac:dyDescent="0.25">
      <c r="A1" s="43" t="s">
        <v>61</v>
      </c>
      <c r="B1" s="44" t="s">
        <v>248</v>
      </c>
      <c r="C1" s="44" t="s">
        <v>249</v>
      </c>
      <c r="D1" s="44" t="s">
        <v>250</v>
      </c>
    </row>
    <row r="2" spans="1:4" x14ac:dyDescent="0.25">
      <c r="A2" s="45" t="s">
        <v>251</v>
      </c>
      <c r="B2" s="45" t="s">
        <v>159</v>
      </c>
      <c r="C2" s="45" t="s">
        <v>157</v>
      </c>
      <c r="D2" s="45" t="str">
        <f>C2&amp;A2&amp;B2</f>
        <v>KORRUSE AVATUD NETOPINDRõdu98 Välisruumid</v>
      </c>
    </row>
    <row r="3" spans="1:4" x14ac:dyDescent="0.25">
      <c r="A3" s="45" t="s">
        <v>252</v>
      </c>
      <c r="B3" s="45" t="s">
        <v>159</v>
      </c>
      <c r="C3" s="45" t="s">
        <v>157</v>
      </c>
      <c r="D3" s="45" t="str">
        <f t="shared" ref="D3:D66" si="0">C3&amp;A3&amp;B3</f>
        <v>KORRUSE AVATUD NETOPINDTerrass98 Välisruumid</v>
      </c>
    </row>
    <row r="4" spans="1:4" x14ac:dyDescent="0.25">
      <c r="A4" s="45" t="s">
        <v>158</v>
      </c>
      <c r="B4" s="45" t="s">
        <v>159</v>
      </c>
      <c r="C4" s="45" t="s">
        <v>157</v>
      </c>
      <c r="D4" s="45" t="str">
        <f t="shared" si="0"/>
        <v>KORRUSE AVATUD NETOPINDVarjualune98 Välisruumid</v>
      </c>
    </row>
    <row r="5" spans="1:4" x14ac:dyDescent="0.25">
      <c r="A5" s="45" t="s">
        <v>253</v>
      </c>
      <c r="B5" s="45" t="s">
        <v>196</v>
      </c>
      <c r="C5" s="45" t="s">
        <v>104</v>
      </c>
      <c r="D5" s="45" t="str">
        <f t="shared" si="0"/>
        <v>TEHNOPINDAlajaam/Trafo/Jaotla97 Elektrotehnilised ruumid</v>
      </c>
    </row>
    <row r="6" spans="1:4" x14ac:dyDescent="0.25">
      <c r="A6" s="45" t="s">
        <v>254</v>
      </c>
      <c r="B6" s="45" t="s">
        <v>121</v>
      </c>
      <c r="C6" s="45" t="s">
        <v>104</v>
      </c>
      <c r="D6" s="45" t="str">
        <f t="shared" si="0"/>
        <v>TEHNOPINDBasseini tehniline ruum94 Kütte- ja veehooldusruumid</v>
      </c>
    </row>
    <row r="7" spans="1:4" x14ac:dyDescent="0.25">
      <c r="A7" s="45" t="s">
        <v>255</v>
      </c>
      <c r="B7" s="45" t="s">
        <v>121</v>
      </c>
      <c r="C7" s="45" t="s">
        <v>104</v>
      </c>
      <c r="D7" s="45" t="str">
        <f t="shared" si="0"/>
        <v>TEHNOPINDBoileriruum94 Kütte- ja veehooldusruumid</v>
      </c>
    </row>
    <row r="8" spans="1:4" x14ac:dyDescent="0.25">
      <c r="A8" s="45" t="s">
        <v>195</v>
      </c>
      <c r="B8" s="45" t="s">
        <v>196</v>
      </c>
      <c r="C8" s="45" t="s">
        <v>104</v>
      </c>
      <c r="D8" s="45" t="str">
        <f t="shared" si="0"/>
        <v>TEHNOPINDElektrikilp97 Elektrotehnilised ruumid</v>
      </c>
    </row>
    <row r="9" spans="1:4" x14ac:dyDescent="0.25">
      <c r="A9" s="45" t="s">
        <v>256</v>
      </c>
      <c r="B9" s="45" t="s">
        <v>121</v>
      </c>
      <c r="C9" s="45" t="s">
        <v>104</v>
      </c>
      <c r="D9" s="45" t="str">
        <f t="shared" si="0"/>
        <v>TEHNOPINDGaasiruum94 Kütte- ja veehooldusruumid</v>
      </c>
    </row>
    <row r="10" spans="1:4" x14ac:dyDescent="0.25">
      <c r="A10" s="45" t="s">
        <v>257</v>
      </c>
      <c r="B10" s="45" t="s">
        <v>196</v>
      </c>
      <c r="C10" s="45" t="s">
        <v>104</v>
      </c>
      <c r="D10" s="45" t="str">
        <f t="shared" si="0"/>
        <v>TEHNOPINDGeneraatoriruum97 Elektrotehnilised ruumid</v>
      </c>
    </row>
    <row r="11" spans="1:4" x14ac:dyDescent="0.25">
      <c r="A11" s="45" t="s">
        <v>105</v>
      </c>
      <c r="B11" s="45" t="s">
        <v>106</v>
      </c>
      <c r="C11" s="45" t="s">
        <v>104</v>
      </c>
      <c r="D11" s="45" t="str">
        <f t="shared" si="0"/>
        <v>TEHNOPINDHoolderuum99 Liigitamata liiklus- ja tehnoruumid</v>
      </c>
    </row>
    <row r="12" spans="1:4" x14ac:dyDescent="0.25">
      <c r="A12" s="45" t="s">
        <v>258</v>
      </c>
      <c r="B12" s="45" t="s">
        <v>121</v>
      </c>
      <c r="C12" s="45" t="s">
        <v>104</v>
      </c>
      <c r="D12" s="45" t="str">
        <f t="shared" si="0"/>
        <v>TEHNOPINDJahutusruum94 Kütte- ja veehooldusruumid</v>
      </c>
    </row>
    <row r="13" spans="1:4" x14ac:dyDescent="0.25">
      <c r="A13" s="45" t="s">
        <v>259</v>
      </c>
      <c r="B13" s="45" t="s">
        <v>121</v>
      </c>
      <c r="C13" s="45" t="s">
        <v>104</v>
      </c>
      <c r="D13" s="45" t="str">
        <f t="shared" si="0"/>
        <v>TEHNOPINDKatlaruum94 Kütte- ja veehooldusruumid</v>
      </c>
    </row>
    <row r="14" spans="1:4" x14ac:dyDescent="0.25">
      <c r="A14" s="45" t="s">
        <v>260</v>
      </c>
      <c r="B14" s="45" t="s">
        <v>106</v>
      </c>
      <c r="C14" s="45" t="s">
        <v>104</v>
      </c>
      <c r="D14" s="45" t="str">
        <f t="shared" si="0"/>
        <v>TEHNOPINDKütusehoidla99 Liigitamata liiklus- ja tehnoruumid</v>
      </c>
    </row>
    <row r="15" spans="1:4" x14ac:dyDescent="0.25">
      <c r="A15" s="45" t="s">
        <v>261</v>
      </c>
      <c r="B15" s="45" t="s">
        <v>196</v>
      </c>
      <c r="C15" s="45" t="s">
        <v>104</v>
      </c>
      <c r="D15" s="45" t="str">
        <f t="shared" si="0"/>
        <v>TEHNOPINDLifti masinaruum97 Elektrotehnilised ruumid</v>
      </c>
    </row>
    <row r="16" spans="1:4" x14ac:dyDescent="0.25">
      <c r="A16" s="45" t="s">
        <v>261</v>
      </c>
      <c r="B16" s="45" t="s">
        <v>106</v>
      </c>
      <c r="C16" s="45" t="s">
        <v>104</v>
      </c>
      <c r="D16" s="45" t="str">
        <f t="shared" si="0"/>
        <v>TEHNOPINDLifti masinaruum99 Liigitamata liiklus- ja tehnoruumid</v>
      </c>
    </row>
    <row r="17" spans="1:4" x14ac:dyDescent="0.25">
      <c r="A17" s="45" t="s">
        <v>262</v>
      </c>
      <c r="B17" s="45" t="s">
        <v>196</v>
      </c>
      <c r="C17" s="45" t="s">
        <v>104</v>
      </c>
      <c r="D17" s="45" t="str">
        <f t="shared" si="0"/>
        <v>TEHNOPINDPumpla97 Elektrotehnilised ruumid</v>
      </c>
    </row>
    <row r="18" spans="1:4" x14ac:dyDescent="0.25">
      <c r="A18" s="45" t="s">
        <v>262</v>
      </c>
      <c r="B18" s="45" t="s">
        <v>106</v>
      </c>
      <c r="C18" s="45" t="s">
        <v>104</v>
      </c>
      <c r="D18" s="45" t="str">
        <f t="shared" si="0"/>
        <v>TEHNOPINDPumpla99 Liigitamata liiklus- ja tehnoruumid</v>
      </c>
    </row>
    <row r="19" spans="1:4" x14ac:dyDescent="0.25">
      <c r="A19" s="45" t="s">
        <v>263</v>
      </c>
      <c r="B19" s="45" t="s">
        <v>121</v>
      </c>
      <c r="C19" s="45" t="s">
        <v>104</v>
      </c>
      <c r="D19" s="45" t="str">
        <f t="shared" si="0"/>
        <v>TEHNOPINDSamarõhukamber94 Kütte- ja veehooldusruumid</v>
      </c>
    </row>
    <row r="20" spans="1:4" x14ac:dyDescent="0.25">
      <c r="A20" s="45" t="s">
        <v>263</v>
      </c>
      <c r="B20" s="45" t="s">
        <v>106</v>
      </c>
      <c r="C20" s="45" t="s">
        <v>104</v>
      </c>
      <c r="D20" s="45" t="str">
        <f t="shared" si="0"/>
        <v>TEHNOPINDSamarõhukamber99 Liigitamata liiklus- ja tehnoruumid</v>
      </c>
    </row>
    <row r="21" spans="1:4" x14ac:dyDescent="0.25">
      <c r="A21" s="45" t="s">
        <v>264</v>
      </c>
      <c r="B21" s="45" t="s">
        <v>196</v>
      </c>
      <c r="C21" s="45" t="s">
        <v>104</v>
      </c>
      <c r="D21" s="45" t="str">
        <f t="shared" si="0"/>
        <v>TEHNOPINDSideruum/Nõrkvool97 Elektrotehnilised ruumid</v>
      </c>
    </row>
    <row r="22" spans="1:4" x14ac:dyDescent="0.25">
      <c r="A22" s="45" t="s">
        <v>264</v>
      </c>
      <c r="B22" s="45" t="s">
        <v>106</v>
      </c>
      <c r="C22" s="45" t="s">
        <v>104</v>
      </c>
      <c r="D22" s="45" t="str">
        <f t="shared" si="0"/>
        <v>TEHNOPINDSideruum/Nõrkvool99 Liigitamata liiklus- ja tehnoruumid</v>
      </c>
    </row>
    <row r="23" spans="1:4" x14ac:dyDescent="0.25">
      <c r="A23" s="45" t="s">
        <v>120</v>
      </c>
      <c r="B23" s="45" t="s">
        <v>121</v>
      </c>
      <c r="C23" s="45" t="s">
        <v>104</v>
      </c>
      <c r="D23" s="45" t="str">
        <f t="shared" si="0"/>
        <v>TEHNOPINDSoojasõlm94 Kütte- ja veehooldusruumid</v>
      </c>
    </row>
    <row r="24" spans="1:4" x14ac:dyDescent="0.25">
      <c r="A24" s="45" t="s">
        <v>265</v>
      </c>
      <c r="B24" s="45" t="s">
        <v>121</v>
      </c>
      <c r="C24" s="45" t="s">
        <v>104</v>
      </c>
      <c r="D24" s="45" t="str">
        <f t="shared" si="0"/>
        <v>TEHNOPINDSprinkler/Tuletõrje pump94 Kütte- ja veehooldusruumid</v>
      </c>
    </row>
    <row r="25" spans="1:4" x14ac:dyDescent="0.25">
      <c r="A25" s="45" t="s">
        <v>265</v>
      </c>
      <c r="B25" s="45" t="s">
        <v>106</v>
      </c>
      <c r="C25" s="45" t="s">
        <v>104</v>
      </c>
      <c r="D25" s="45" t="str">
        <f t="shared" si="0"/>
        <v>TEHNOPINDSprinkler/Tuletõrje pump99 Liigitamata liiklus- ja tehnoruumid</v>
      </c>
    </row>
    <row r="26" spans="1:4" x14ac:dyDescent="0.25">
      <c r="A26" s="45" t="s">
        <v>266</v>
      </c>
      <c r="B26" s="45" t="s">
        <v>196</v>
      </c>
      <c r="C26" s="45" t="s">
        <v>104</v>
      </c>
      <c r="D26" s="45" t="str">
        <f t="shared" si="0"/>
        <v>TEHNOPINDUPS-ruum97 Elektrotehnilised ruumid</v>
      </c>
    </row>
    <row r="27" spans="1:4" x14ac:dyDescent="0.25">
      <c r="A27" s="45" t="s">
        <v>266</v>
      </c>
      <c r="B27" s="45" t="s">
        <v>106</v>
      </c>
      <c r="C27" s="45" t="s">
        <v>104</v>
      </c>
      <c r="D27" s="45" t="str">
        <f t="shared" si="0"/>
        <v>TEHNOPINDUPS-ruum99 Liigitamata liiklus- ja tehnoruumid</v>
      </c>
    </row>
    <row r="28" spans="1:4" x14ac:dyDescent="0.25">
      <c r="A28" s="45" t="s">
        <v>267</v>
      </c>
      <c r="B28" s="45" t="s">
        <v>121</v>
      </c>
      <c r="C28" s="45" t="s">
        <v>104</v>
      </c>
      <c r="D28" s="45" t="str">
        <f t="shared" si="0"/>
        <v>TEHNOPINDVeemõõdusõlm94 Kütte- ja veehooldusruumid</v>
      </c>
    </row>
    <row r="29" spans="1:4" x14ac:dyDescent="0.25">
      <c r="A29" s="45" t="s">
        <v>124</v>
      </c>
      <c r="B29" s="45" t="s">
        <v>125</v>
      </c>
      <c r="C29" s="45" t="s">
        <v>104</v>
      </c>
      <c r="D29" s="45" t="str">
        <f t="shared" si="0"/>
        <v>TEHNOPINDVent ruum96 Ventilatsiooniruumid</v>
      </c>
    </row>
    <row r="30" spans="1:4" x14ac:dyDescent="0.25">
      <c r="A30" s="45" t="s">
        <v>268</v>
      </c>
      <c r="B30" s="45" t="s">
        <v>125</v>
      </c>
      <c r="C30" s="45" t="s">
        <v>104</v>
      </c>
      <c r="D30" s="45" t="str">
        <f t="shared" si="0"/>
        <v>TEHNOPINDÕhuvõtukamber96 Ventilatsiooniruumid</v>
      </c>
    </row>
    <row r="31" spans="1:4" x14ac:dyDescent="0.25">
      <c r="A31" s="45" t="s">
        <v>269</v>
      </c>
      <c r="B31" s="45" t="s">
        <v>72</v>
      </c>
      <c r="C31" s="45" t="s">
        <v>70</v>
      </c>
      <c r="D31" s="45" t="str">
        <f t="shared" si="0"/>
        <v>VERTIKAALSETE ÜHENDUSTEEDE PINDLift92 Vertikaalliiklusruumid</v>
      </c>
    </row>
    <row r="32" spans="1:4" x14ac:dyDescent="0.25">
      <c r="A32" s="45" t="s">
        <v>270</v>
      </c>
      <c r="B32" s="45" t="s">
        <v>72</v>
      </c>
      <c r="C32" s="45" t="s">
        <v>70</v>
      </c>
      <c r="D32" s="45" t="str">
        <f t="shared" si="0"/>
        <v>VERTIKAALSETE ÜHENDUSTEEDE PINDŠaht92 Vertikaalliiklusruumid</v>
      </c>
    </row>
    <row r="33" spans="1:4" x14ac:dyDescent="0.25">
      <c r="A33" s="45" t="s">
        <v>71</v>
      </c>
      <c r="B33" s="45" t="s">
        <v>72</v>
      </c>
      <c r="C33" s="45" t="s">
        <v>70</v>
      </c>
      <c r="D33" s="45" t="str">
        <f t="shared" si="0"/>
        <v>VERTIKAALSETE ÜHENDUSTEEDE PINDTrepp/Trepikoda92 Vertikaalliiklusruumid</v>
      </c>
    </row>
    <row r="34" spans="1:4" x14ac:dyDescent="0.25">
      <c r="A34" s="45" t="s">
        <v>135</v>
      </c>
      <c r="B34" s="45" t="s">
        <v>89</v>
      </c>
      <c r="C34" s="45" t="s">
        <v>74</v>
      </c>
      <c r="D34" s="45" t="str">
        <f t="shared" si="0"/>
        <v>ÜÜRITAV PINDAatrium/Fuajee91 Horisontaalliiklusruumid</v>
      </c>
    </row>
    <row r="35" spans="1:4" x14ac:dyDescent="0.25">
      <c r="A35" s="45" t="s">
        <v>75</v>
      </c>
      <c r="B35" s="45" t="s">
        <v>76</v>
      </c>
      <c r="C35" s="45" t="s">
        <v>74</v>
      </c>
      <c r="D35" s="45" t="str">
        <f t="shared" si="0"/>
        <v>ÜÜRITAV PINDAbiruum23 Äriruumide abiruumid</v>
      </c>
    </row>
    <row r="36" spans="1:4" x14ac:dyDescent="0.25">
      <c r="A36" s="45" t="s">
        <v>111</v>
      </c>
      <c r="B36" s="45" t="s">
        <v>112</v>
      </c>
      <c r="C36" s="45" t="s">
        <v>74</v>
      </c>
      <c r="D36" s="45" t="str">
        <f t="shared" si="0"/>
        <v>ÜÜRITAV PINDArhiiv53 Arhiivid</v>
      </c>
    </row>
    <row r="37" spans="1:4" x14ac:dyDescent="0.25">
      <c r="A37" s="45" t="s">
        <v>271</v>
      </c>
      <c r="B37" s="45" t="s">
        <v>220</v>
      </c>
      <c r="C37" s="45" t="s">
        <v>74</v>
      </c>
      <c r="D37" s="45" t="str">
        <f t="shared" si="0"/>
        <v>ÜÜRITAV PINDAuditoorium34 Auditooriumid</v>
      </c>
    </row>
    <row r="38" spans="1:4" x14ac:dyDescent="0.25">
      <c r="A38" s="45" t="s">
        <v>272</v>
      </c>
      <c r="B38" s="45" t="s">
        <v>273</v>
      </c>
      <c r="C38" s="45" t="s">
        <v>74</v>
      </c>
      <c r="D38" s="45" t="str">
        <f t="shared" si="0"/>
        <v>ÜÜRITAV PINDAutopesula85 Pesumaja</v>
      </c>
    </row>
    <row r="39" spans="1:4" x14ac:dyDescent="0.25">
      <c r="A39" s="45" t="s">
        <v>274</v>
      </c>
      <c r="B39" s="45" t="s">
        <v>275</v>
      </c>
      <c r="C39" s="45" t="s">
        <v>74</v>
      </c>
      <c r="D39" s="45" t="str">
        <f t="shared" si="0"/>
        <v>ÜÜRITAV PINDDesokamber49 Ruumigrupi liigitamata eriruumid</v>
      </c>
    </row>
    <row r="40" spans="1:4" x14ac:dyDescent="0.25">
      <c r="A40" s="45" t="s">
        <v>276</v>
      </c>
      <c r="B40" s="45" t="s">
        <v>112</v>
      </c>
      <c r="C40" s="45" t="s">
        <v>74</v>
      </c>
      <c r="D40" s="45" t="str">
        <f t="shared" si="0"/>
        <v>ÜÜRITAV PINDDokumendihoidla53 Arhiivid</v>
      </c>
    </row>
    <row r="41" spans="1:4" x14ac:dyDescent="0.25">
      <c r="A41" s="45" t="s">
        <v>276</v>
      </c>
      <c r="B41" s="45" t="s">
        <v>277</v>
      </c>
      <c r="C41" s="45" t="s">
        <v>74</v>
      </c>
      <c r="D41" s="45" t="str">
        <f t="shared" si="0"/>
        <v>ÜÜRITAV PINDDokumendihoidla59 Liigitamata hoiuruumid</v>
      </c>
    </row>
    <row r="42" spans="1:4" x14ac:dyDescent="0.25">
      <c r="A42" s="45" t="s">
        <v>88</v>
      </c>
      <c r="B42" s="45" t="s">
        <v>89</v>
      </c>
      <c r="C42" s="45" t="s">
        <v>74</v>
      </c>
      <c r="D42" s="45" t="str">
        <f t="shared" si="0"/>
        <v>ÜÜRITAV PINDEesruum91 Horisontaalliiklusruumid</v>
      </c>
    </row>
    <row r="43" spans="1:4" x14ac:dyDescent="0.25">
      <c r="A43" s="45" t="s">
        <v>278</v>
      </c>
      <c r="B43" s="45" t="s">
        <v>279</v>
      </c>
      <c r="C43" s="45" t="s">
        <v>74</v>
      </c>
      <c r="D43" s="45" t="str">
        <f t="shared" si="0"/>
        <v>ÜÜRITAV PINDEluruum11 Korterid tubade arvu järgi</v>
      </c>
    </row>
    <row r="44" spans="1:4" x14ac:dyDescent="0.25">
      <c r="A44" s="45" t="s">
        <v>278</v>
      </c>
      <c r="B44" s="45" t="s">
        <v>280</v>
      </c>
      <c r="C44" s="45" t="s">
        <v>74</v>
      </c>
      <c r="D44" s="45" t="str">
        <f t="shared" si="0"/>
        <v>ÜÜRITAV PINDEluruum12 Eluruumid eraldi</v>
      </c>
    </row>
    <row r="45" spans="1:4" x14ac:dyDescent="0.25">
      <c r="A45" s="45" t="s">
        <v>278</v>
      </c>
      <c r="B45" s="45" t="s">
        <v>281</v>
      </c>
      <c r="C45" s="45" t="s">
        <v>74</v>
      </c>
      <c r="D45" s="45" t="str">
        <f t="shared" si="0"/>
        <v>ÜÜRITAV PINDEluruum13 Majutusruumid</v>
      </c>
    </row>
    <row r="46" spans="1:4" x14ac:dyDescent="0.25">
      <c r="A46" s="45" t="s">
        <v>278</v>
      </c>
      <c r="B46" s="45" t="s">
        <v>282</v>
      </c>
      <c r="C46" s="45" t="s">
        <v>74</v>
      </c>
      <c r="D46" s="45" t="str">
        <f t="shared" si="0"/>
        <v>ÜÜRITAV PINDEluruum15 Ühiselamutoad</v>
      </c>
    </row>
    <row r="47" spans="1:4" x14ac:dyDescent="0.25">
      <c r="A47" s="45" t="s">
        <v>278</v>
      </c>
      <c r="B47" s="45" t="s">
        <v>283</v>
      </c>
      <c r="C47" s="45" t="s">
        <v>74</v>
      </c>
      <c r="D47" s="45" t="str">
        <f t="shared" si="0"/>
        <v>ÜÜRITAV PINDEluruum16 Hotellitoad</v>
      </c>
    </row>
    <row r="48" spans="1:4" x14ac:dyDescent="0.25">
      <c r="A48" s="45" t="s">
        <v>278</v>
      </c>
      <c r="B48" s="45" t="s">
        <v>284</v>
      </c>
      <c r="C48" s="45" t="s">
        <v>74</v>
      </c>
      <c r="D48" s="45" t="str">
        <f t="shared" si="0"/>
        <v>ÜÜRITAV PINDEluruum17 Kasarmutoad</v>
      </c>
    </row>
    <row r="49" spans="1:4" x14ac:dyDescent="0.25">
      <c r="A49" s="45" t="s">
        <v>278</v>
      </c>
      <c r="B49" s="45" t="s">
        <v>285</v>
      </c>
      <c r="C49" s="45" t="s">
        <v>74</v>
      </c>
      <c r="D49" s="45" t="str">
        <f t="shared" si="0"/>
        <v>ÜÜRITAV PINDEluruum18 Magamissaalid</v>
      </c>
    </row>
    <row r="50" spans="1:4" x14ac:dyDescent="0.25">
      <c r="A50" s="45" t="s">
        <v>278</v>
      </c>
      <c r="B50" s="45" t="s">
        <v>286</v>
      </c>
      <c r="C50" s="45" t="s">
        <v>74</v>
      </c>
      <c r="D50" s="45" t="str">
        <f t="shared" si="0"/>
        <v>ÜÜRITAV PINDEluruum19 Liigitamata eluruumid</v>
      </c>
    </row>
    <row r="51" spans="1:4" x14ac:dyDescent="0.25">
      <c r="A51" s="45" t="s">
        <v>287</v>
      </c>
      <c r="B51" s="45" t="s">
        <v>275</v>
      </c>
      <c r="C51" s="45" t="s">
        <v>74</v>
      </c>
      <c r="D51" s="45" t="str">
        <f t="shared" si="0"/>
        <v>ÜÜRITAV PINDEriotstarbeline ruum49 Ruumigrupi liigitamata eriruumid</v>
      </c>
    </row>
    <row r="52" spans="1:4" x14ac:dyDescent="0.25">
      <c r="A52" s="45" t="s">
        <v>79</v>
      </c>
      <c r="B52" s="45" t="s">
        <v>80</v>
      </c>
      <c r="C52" s="45" t="s">
        <v>74</v>
      </c>
      <c r="D52" s="45" t="str">
        <f t="shared" si="0"/>
        <v>ÜÜRITAV PINDGaraaž55 Garaažid</v>
      </c>
    </row>
    <row r="53" spans="1:4" x14ac:dyDescent="0.25">
      <c r="A53" s="45" t="s">
        <v>288</v>
      </c>
      <c r="B53" s="45" t="s">
        <v>289</v>
      </c>
      <c r="C53" s="45" t="s">
        <v>74</v>
      </c>
      <c r="D53" s="45" t="str">
        <f t="shared" si="0"/>
        <v>ÜÜRITAV PINDGarderoob51 Garderoobiruumid</v>
      </c>
    </row>
    <row r="54" spans="1:4" x14ac:dyDescent="0.25">
      <c r="A54" s="45" t="s">
        <v>290</v>
      </c>
      <c r="B54" s="45" t="s">
        <v>291</v>
      </c>
      <c r="C54" s="45" t="s">
        <v>74</v>
      </c>
      <c r="D54" s="45" t="str">
        <f t="shared" si="0"/>
        <v>ÜÜRITAV PINDHoiuruum/Ladu52 Laod</v>
      </c>
    </row>
    <row r="55" spans="1:4" x14ac:dyDescent="0.25">
      <c r="A55" s="45" t="s">
        <v>290</v>
      </c>
      <c r="B55" s="45" t="s">
        <v>277</v>
      </c>
      <c r="C55" s="45" t="s">
        <v>74</v>
      </c>
      <c r="D55" s="45" t="str">
        <f t="shared" si="0"/>
        <v>ÜÜRITAV PINDHoiuruum/Ladu59 Liigitamata hoiuruumid</v>
      </c>
    </row>
    <row r="56" spans="1:4" x14ac:dyDescent="0.25">
      <c r="A56" s="45" t="s">
        <v>292</v>
      </c>
      <c r="B56" s="45" t="s">
        <v>277</v>
      </c>
      <c r="C56" s="45" t="s">
        <v>74</v>
      </c>
      <c r="D56" s="45" t="str">
        <f t="shared" si="0"/>
        <v>ÜÜRITAV PINDJalgrataste hoidla59 Liigitamata hoiuruumid</v>
      </c>
    </row>
    <row r="57" spans="1:4" x14ac:dyDescent="0.25">
      <c r="A57" s="45" t="s">
        <v>293</v>
      </c>
      <c r="B57" s="45" t="s">
        <v>294</v>
      </c>
      <c r="C57" s="45" t="s">
        <v>74</v>
      </c>
      <c r="D57" s="45" t="str">
        <f t="shared" si="0"/>
        <v>ÜÜRITAV PINDJäätmed87 Jäätmehooldusruumid</v>
      </c>
    </row>
    <row r="58" spans="1:4" x14ac:dyDescent="0.25">
      <c r="A58" s="46" t="s">
        <v>295</v>
      </c>
      <c r="B58" s="45" t="s">
        <v>275</v>
      </c>
      <c r="C58" s="45" t="s">
        <v>74</v>
      </c>
      <c r="D58" s="45" t="str">
        <f t="shared" si="0"/>
        <v>ÜÜRITAV PINDKaaluruum49 Ruumigrupi liigitamata eriruumid</v>
      </c>
    </row>
    <row r="59" spans="1:4" x14ac:dyDescent="0.25">
      <c r="A59" s="45" t="s">
        <v>98</v>
      </c>
      <c r="B59" s="45" t="s">
        <v>96</v>
      </c>
      <c r="C59" s="45" t="s">
        <v>74</v>
      </c>
      <c r="D59" s="45" t="str">
        <f t="shared" si="0"/>
        <v>ÜÜRITAV PINDKabinet/Büroo21 Bürooruumid</v>
      </c>
    </row>
    <row r="60" spans="1:4" x14ac:dyDescent="0.25">
      <c r="A60" s="45" t="s">
        <v>98</v>
      </c>
      <c r="B60" s="45" t="s">
        <v>296</v>
      </c>
      <c r="C60" s="45" t="s">
        <v>74</v>
      </c>
      <c r="D60" s="45" t="str">
        <f t="shared" si="0"/>
        <v>ÜÜRITAV PINDKabinet/Büroo22 Äriruumid</v>
      </c>
    </row>
    <row r="61" spans="1:4" x14ac:dyDescent="0.25">
      <c r="A61" s="45" t="s">
        <v>297</v>
      </c>
      <c r="B61" s="45" t="s">
        <v>277</v>
      </c>
      <c r="C61" s="45" t="s">
        <v>74</v>
      </c>
      <c r="D61" s="45" t="str">
        <f t="shared" si="0"/>
        <v>ÜÜRITAV PINDKelder59 Liigitamata hoiuruumid</v>
      </c>
    </row>
    <row r="62" spans="1:4" x14ac:dyDescent="0.25">
      <c r="A62" s="45" t="s">
        <v>297</v>
      </c>
      <c r="B62" s="45" t="s">
        <v>298</v>
      </c>
      <c r="C62" s="45" t="s">
        <v>74</v>
      </c>
      <c r="D62" s="45" t="str">
        <f t="shared" si="0"/>
        <v>ÜÜRITAV PINDKelder82 Kinnistu juurde kuuluvad laod</v>
      </c>
    </row>
    <row r="63" spans="1:4" x14ac:dyDescent="0.25">
      <c r="A63" s="45" t="s">
        <v>297</v>
      </c>
      <c r="B63" s="45" t="s">
        <v>299</v>
      </c>
      <c r="C63" s="45" t="s">
        <v>74</v>
      </c>
      <c r="D63" s="45" t="str">
        <f t="shared" si="0"/>
        <v>ÜÜRITAV PINDKelder88 Kinnistu eriruumid</v>
      </c>
    </row>
    <row r="64" spans="1:4" x14ac:dyDescent="0.25">
      <c r="A64" s="45" t="s">
        <v>300</v>
      </c>
      <c r="B64" s="45" t="s">
        <v>277</v>
      </c>
      <c r="C64" s="45" t="s">
        <v>74</v>
      </c>
      <c r="D64" s="45" t="str">
        <f t="shared" si="0"/>
        <v>ÜÜRITAV PINDKemikaalid59 Liigitamata hoiuruumid</v>
      </c>
    </row>
    <row r="65" spans="1:4" x14ac:dyDescent="0.25">
      <c r="A65" s="45" t="s">
        <v>301</v>
      </c>
      <c r="B65" s="45" t="s">
        <v>286</v>
      </c>
      <c r="C65" s="45" t="s">
        <v>74</v>
      </c>
      <c r="D65" s="45" t="str">
        <f t="shared" si="0"/>
        <v>ÜÜRITAV PINDKinnipidamisruum19 Liigitamata eluruumid</v>
      </c>
    </row>
    <row r="66" spans="1:4" x14ac:dyDescent="0.25">
      <c r="A66" s="45" t="s">
        <v>301</v>
      </c>
      <c r="B66" s="45" t="s">
        <v>275</v>
      </c>
      <c r="C66" s="45" t="s">
        <v>74</v>
      </c>
      <c r="D66" s="45" t="str">
        <f t="shared" si="0"/>
        <v>ÜÜRITAV PINDKinnipidamisruum49 Ruumigrupi liigitamata eriruumid</v>
      </c>
    </row>
    <row r="67" spans="1:4" x14ac:dyDescent="0.25">
      <c r="A67" s="45" t="s">
        <v>302</v>
      </c>
      <c r="B67" s="45" t="s">
        <v>303</v>
      </c>
      <c r="C67" s="45" t="s">
        <v>74</v>
      </c>
      <c r="D67" s="45" t="str">
        <f t="shared" ref="D67:D120" si="1">C67&amp;A67&amp;B67</f>
        <v>ÜÜRITAV PINDKlassiruum31 Klassiruumid</v>
      </c>
    </row>
    <row r="68" spans="1:4" x14ac:dyDescent="0.25">
      <c r="A68" s="45" t="s">
        <v>304</v>
      </c>
      <c r="B68" s="45" t="s">
        <v>275</v>
      </c>
      <c r="C68" s="45" t="s">
        <v>74</v>
      </c>
      <c r="D68" s="45" t="str">
        <f t="shared" si="1"/>
        <v>ÜÜRITAV PINDKoeraruum49 Ruumigrupi liigitamata eriruumid</v>
      </c>
    </row>
    <row r="69" spans="1:4" x14ac:dyDescent="0.25">
      <c r="A69" s="45" t="s">
        <v>305</v>
      </c>
      <c r="B69" s="45" t="s">
        <v>96</v>
      </c>
      <c r="C69" s="45" t="s">
        <v>74</v>
      </c>
      <c r="D69" s="45" t="str">
        <f t="shared" si="1"/>
        <v>ÜÜRITAV PINDKohtusaal21 Bürooruumid</v>
      </c>
    </row>
    <row r="70" spans="1:4" x14ac:dyDescent="0.25">
      <c r="A70" s="45" t="s">
        <v>92</v>
      </c>
      <c r="B70" s="45" t="s">
        <v>89</v>
      </c>
      <c r="C70" s="45" t="s">
        <v>74</v>
      </c>
      <c r="D70" s="45" t="str">
        <f t="shared" si="1"/>
        <v>ÜÜRITAV PINDKoridor91 Horisontaalliiklusruumid</v>
      </c>
    </row>
    <row r="71" spans="1:4" x14ac:dyDescent="0.25">
      <c r="A71" s="45" t="s">
        <v>306</v>
      </c>
      <c r="B71" s="45" t="s">
        <v>307</v>
      </c>
      <c r="C71" s="45" t="s">
        <v>74</v>
      </c>
      <c r="D71" s="45" t="str">
        <f t="shared" si="1"/>
        <v>ÜÜRITAV PINDKoristus- ja hooldusruum86 Koristus- ja hooldusruumid</v>
      </c>
    </row>
    <row r="72" spans="1:4" x14ac:dyDescent="0.25">
      <c r="A72" s="46" t="s">
        <v>308</v>
      </c>
      <c r="B72" s="45" t="s">
        <v>216</v>
      </c>
      <c r="C72" s="45" t="s">
        <v>74</v>
      </c>
      <c r="D72" s="45" t="str">
        <f t="shared" si="1"/>
        <v>ÜÜRITAV PINDKöögi abiruum64 Köögiruumid</v>
      </c>
    </row>
    <row r="73" spans="1:4" x14ac:dyDescent="0.25">
      <c r="A73" s="45" t="s">
        <v>215</v>
      </c>
      <c r="B73" s="45" t="s">
        <v>309</v>
      </c>
      <c r="C73" s="45" t="s">
        <v>74</v>
      </c>
      <c r="D73" s="45" t="str">
        <f>C73&amp;A73&amp;B73</f>
        <v>ÜÜRITAV PINDKööginurk/Köök62 Töökoha söögitoad</v>
      </c>
    </row>
    <row r="74" spans="1:4" x14ac:dyDescent="0.25">
      <c r="A74" s="45" t="s">
        <v>215</v>
      </c>
      <c r="B74" s="45" t="s">
        <v>216</v>
      </c>
      <c r="C74" s="45" t="s">
        <v>74</v>
      </c>
      <c r="D74" s="45" t="str">
        <f t="shared" si="1"/>
        <v>ÜÜRITAV PINDKööginurk/Köök64 Köögiruumid</v>
      </c>
    </row>
    <row r="75" spans="1:4" x14ac:dyDescent="0.25">
      <c r="A75" s="46" t="s">
        <v>310</v>
      </c>
      <c r="B75" s="45" t="s">
        <v>311</v>
      </c>
      <c r="C75" s="45" t="s">
        <v>74</v>
      </c>
      <c r="D75" s="45" t="str">
        <f t="shared" si="1"/>
        <v>ÜÜRITAV PINDKülmik65 Köögi külmkambrid</v>
      </c>
    </row>
    <row r="76" spans="1:4" x14ac:dyDescent="0.25">
      <c r="A76" s="45" t="s">
        <v>312</v>
      </c>
      <c r="B76" s="45" t="s">
        <v>275</v>
      </c>
      <c r="C76" s="45" t="s">
        <v>74</v>
      </c>
      <c r="D76" s="45" t="str">
        <f t="shared" si="1"/>
        <v>ÜÜRITAV PINDLaadimisruum/-tsoon49 Ruumigrupi liigitamata eriruumid</v>
      </c>
    </row>
    <row r="77" spans="1:4" x14ac:dyDescent="0.25">
      <c r="A77" s="45" t="s">
        <v>313</v>
      </c>
      <c r="B77" s="45" t="s">
        <v>314</v>
      </c>
      <c r="C77" s="45" t="s">
        <v>74</v>
      </c>
      <c r="D77" s="45" t="str">
        <f t="shared" si="1"/>
        <v>ÜÜRITAV PINDLaboratoorium36 Laboratooriumiruumid</v>
      </c>
    </row>
    <row r="78" spans="1:4" x14ac:dyDescent="0.25">
      <c r="A78" s="45" t="s">
        <v>315</v>
      </c>
      <c r="B78" s="45" t="s">
        <v>275</v>
      </c>
      <c r="C78" s="45" t="s">
        <v>74</v>
      </c>
      <c r="D78" s="45" t="str">
        <f t="shared" si="1"/>
        <v>ÜÜRITAV PINDLahangusaal49 Ruumigrupi liigitamata eriruumid</v>
      </c>
    </row>
    <row r="79" spans="1:4" x14ac:dyDescent="0.25">
      <c r="A79" s="45" t="s">
        <v>316</v>
      </c>
      <c r="B79" s="45" t="s">
        <v>275</v>
      </c>
      <c r="C79" s="45" t="s">
        <v>74</v>
      </c>
      <c r="D79" s="45" t="str">
        <f t="shared" si="1"/>
        <v>ÜÜRITAV PINDLasketiir49 Ruumigrupi liigitamata eriruumid</v>
      </c>
    </row>
    <row r="80" spans="1:4" x14ac:dyDescent="0.25">
      <c r="A80" s="45" t="s">
        <v>317</v>
      </c>
      <c r="B80" s="45" t="s">
        <v>318</v>
      </c>
      <c r="C80" s="45" t="s">
        <v>74</v>
      </c>
      <c r="D80" s="45" t="str">
        <f t="shared" si="1"/>
        <v>ÜÜRITAV PINDLaut41 Tootmisruumid</v>
      </c>
    </row>
    <row r="81" spans="1:4" x14ac:dyDescent="0.25">
      <c r="A81" s="45" t="s">
        <v>317</v>
      </c>
      <c r="B81" s="46" t="s">
        <v>299</v>
      </c>
      <c r="C81" s="45" t="s">
        <v>74</v>
      </c>
      <c r="D81" s="45" t="str">
        <f t="shared" si="1"/>
        <v>ÜÜRITAV PINDLaut88 Kinnistu eriruumid</v>
      </c>
    </row>
    <row r="82" spans="1:4" x14ac:dyDescent="0.25">
      <c r="A82" s="45" t="s">
        <v>319</v>
      </c>
      <c r="B82" s="45" t="s">
        <v>320</v>
      </c>
      <c r="C82" s="45" t="s">
        <v>74</v>
      </c>
      <c r="D82" s="45" t="str">
        <f t="shared" si="1"/>
        <v>ÜÜRITAV PINDLava/Kino77 Klubi- ja harrastusruumid</v>
      </c>
    </row>
    <row r="83" spans="1:4" x14ac:dyDescent="0.25">
      <c r="A83" s="45" t="s">
        <v>321</v>
      </c>
      <c r="B83" s="45" t="s">
        <v>322</v>
      </c>
      <c r="C83" s="45" t="s">
        <v>74</v>
      </c>
      <c r="D83" s="45" t="str">
        <f t="shared" si="1"/>
        <v>ÜÜRITAV PINDLeiliruum74 Leiliruumid</v>
      </c>
    </row>
    <row r="84" spans="1:4" x14ac:dyDescent="0.25">
      <c r="A84" s="45" t="s">
        <v>323</v>
      </c>
      <c r="B84" s="45" t="s">
        <v>146</v>
      </c>
      <c r="C84" s="45" t="s">
        <v>74</v>
      </c>
      <c r="D84" s="45" t="str">
        <f t="shared" si="1"/>
        <v>ÜÜRITAV PINDLüüs83 Sissepääsuruumid</v>
      </c>
    </row>
    <row r="85" spans="1:4" x14ac:dyDescent="0.25">
      <c r="A85" s="45" t="s">
        <v>323</v>
      </c>
      <c r="B85" s="45" t="s">
        <v>89</v>
      </c>
      <c r="C85" s="45" t="s">
        <v>74</v>
      </c>
      <c r="D85" s="45" t="str">
        <f t="shared" si="1"/>
        <v>ÜÜRITAV PINDLüüs91 Horisontaalliiklusruumid</v>
      </c>
    </row>
    <row r="86" spans="1:4" x14ac:dyDescent="0.25">
      <c r="A86" s="45" t="s">
        <v>95</v>
      </c>
      <c r="B86" s="45" t="s">
        <v>96</v>
      </c>
      <c r="C86" s="45" t="s">
        <v>74</v>
      </c>
      <c r="D86" s="45" t="str">
        <f t="shared" si="1"/>
        <v>ÜÜRITAV PINDNõupidamise ruum21 Bürooruumid</v>
      </c>
    </row>
    <row r="87" spans="1:4" x14ac:dyDescent="0.25">
      <c r="A87" s="45" t="s">
        <v>324</v>
      </c>
      <c r="B87" s="45" t="s">
        <v>325</v>
      </c>
      <c r="C87" s="45" t="s">
        <v>74</v>
      </c>
      <c r="D87" s="45" t="str">
        <f t="shared" si="1"/>
        <v>ÜÜRITAV PINDNäitusesaal/Muuseum46 Kultuuriasutuste ruumid</v>
      </c>
    </row>
    <row r="88" spans="1:4" x14ac:dyDescent="0.25">
      <c r="A88" s="45" t="s">
        <v>152</v>
      </c>
      <c r="B88" s="45" t="s">
        <v>296</v>
      </c>
      <c r="C88" s="45" t="s">
        <v>74</v>
      </c>
      <c r="D88" s="45" t="str">
        <f t="shared" si="1"/>
        <v>ÜÜRITAV PINDOoteruum/Teenindusruum22 Äriruumid</v>
      </c>
    </row>
    <row r="89" spans="1:4" x14ac:dyDescent="0.25">
      <c r="A89" s="45" t="s">
        <v>152</v>
      </c>
      <c r="B89" s="45" t="s">
        <v>153</v>
      </c>
      <c r="C89" s="45" t="s">
        <v>74</v>
      </c>
      <c r="D89" s="45" t="str">
        <f t="shared" si="1"/>
        <v>ÜÜRITAV PINDOoteruum/Teenindusruum84 Avalikud teenindusruumid</v>
      </c>
    </row>
    <row r="90" spans="1:4" x14ac:dyDescent="0.25">
      <c r="A90" s="45" t="s">
        <v>326</v>
      </c>
      <c r="B90" s="45" t="s">
        <v>80</v>
      </c>
      <c r="C90" s="45" t="s">
        <v>74</v>
      </c>
      <c r="D90" s="45" t="str">
        <f t="shared" si="1"/>
        <v>ÜÜRITAV PINDParkla55 Garaažid</v>
      </c>
    </row>
    <row r="91" spans="1:4" x14ac:dyDescent="0.25">
      <c r="A91" s="45" t="s">
        <v>326</v>
      </c>
      <c r="B91" s="45" t="s">
        <v>327</v>
      </c>
      <c r="C91" s="45" t="s">
        <v>74</v>
      </c>
      <c r="D91" s="45" t="str">
        <f t="shared" si="1"/>
        <v>ÜÜRITAV PINDParkla89 Liigitamata ühisruumid</v>
      </c>
    </row>
    <row r="92" spans="1:4" x14ac:dyDescent="0.25">
      <c r="A92" s="45" t="s">
        <v>177</v>
      </c>
      <c r="B92" s="45" t="s">
        <v>178</v>
      </c>
      <c r="C92" s="45" t="s">
        <v>74</v>
      </c>
      <c r="D92" s="45" t="str">
        <f t="shared" si="1"/>
        <v>ÜÜRITAV PINDPesuruum72 Pesuruumid</v>
      </c>
    </row>
    <row r="93" spans="1:4" x14ac:dyDescent="0.25">
      <c r="A93" s="45" t="s">
        <v>85</v>
      </c>
      <c r="B93" s="45" t="s">
        <v>328</v>
      </c>
      <c r="C93" s="45" t="s">
        <v>74</v>
      </c>
      <c r="D93" s="45" t="str">
        <f t="shared" si="1"/>
        <v>ÜÜRITAV PINDPuhkeruum48 Puhke- ja huvialaruumid</v>
      </c>
    </row>
    <row r="94" spans="1:4" x14ac:dyDescent="0.25">
      <c r="A94" s="45" t="s">
        <v>85</v>
      </c>
      <c r="B94" s="45" t="s">
        <v>86</v>
      </c>
      <c r="C94" s="45" t="s">
        <v>74</v>
      </c>
      <c r="D94" s="45" t="str">
        <f t="shared" si="1"/>
        <v>ÜÜRITAV PINDPuhkeruum75 Puhketoad</v>
      </c>
    </row>
    <row r="95" spans="1:4" x14ac:dyDescent="0.25">
      <c r="A95" s="45" t="s">
        <v>329</v>
      </c>
      <c r="B95" s="45" t="s">
        <v>327</v>
      </c>
      <c r="C95" s="45" t="s">
        <v>74</v>
      </c>
      <c r="D95" s="45" t="str">
        <f t="shared" si="1"/>
        <v>ÜÜRITAV PINDPööning/Katusealune89 Liigitamata ühisruumid</v>
      </c>
    </row>
    <row r="96" spans="1:4" x14ac:dyDescent="0.25">
      <c r="A96" s="45" t="s">
        <v>330</v>
      </c>
      <c r="B96" s="45" t="s">
        <v>331</v>
      </c>
      <c r="C96" s="45" t="s">
        <v>74</v>
      </c>
      <c r="D96" s="45" t="str">
        <f t="shared" si="1"/>
        <v>ÜÜRITAV PINDRaamatukogu39 Liigitamata õpperuumid</v>
      </c>
    </row>
    <row r="97" spans="1:4" x14ac:dyDescent="0.25">
      <c r="A97" s="45" t="s">
        <v>332</v>
      </c>
      <c r="B97" s="45" t="s">
        <v>277</v>
      </c>
      <c r="C97" s="45" t="s">
        <v>74</v>
      </c>
      <c r="D97" s="45" t="str">
        <f t="shared" si="1"/>
        <v>ÜÜRITAV PINDRelvaruum59 Liigitamata hoiuruumid</v>
      </c>
    </row>
    <row r="98" spans="1:4" x14ac:dyDescent="0.25">
      <c r="A98" s="45" t="s">
        <v>333</v>
      </c>
      <c r="B98" s="45" t="s">
        <v>334</v>
      </c>
      <c r="C98" s="45" t="s">
        <v>74</v>
      </c>
      <c r="D98" s="45" t="str">
        <f t="shared" si="1"/>
        <v>ÜÜRITAV PINDRiietusruum71 Riietusruumid</v>
      </c>
    </row>
    <row r="99" spans="1:4" x14ac:dyDescent="0.25">
      <c r="A99" s="45" t="s">
        <v>219</v>
      </c>
      <c r="B99" s="45" t="s">
        <v>335</v>
      </c>
      <c r="C99" s="45" t="s">
        <v>74</v>
      </c>
      <c r="D99" s="45" t="str">
        <f t="shared" si="1"/>
        <v>ÜÜRITAV PINDSaal33 Loengusaalid</v>
      </c>
    </row>
    <row r="100" spans="1:4" x14ac:dyDescent="0.25">
      <c r="A100" s="45" t="s">
        <v>219</v>
      </c>
      <c r="B100" s="45" t="s">
        <v>220</v>
      </c>
      <c r="C100" s="45" t="s">
        <v>74</v>
      </c>
      <c r="D100" s="45" t="str">
        <f t="shared" si="1"/>
        <v>ÜÜRITAV PINDSaal34 Auditooriumid</v>
      </c>
    </row>
    <row r="101" spans="1:4" x14ac:dyDescent="0.25">
      <c r="A101" s="45" t="s">
        <v>336</v>
      </c>
      <c r="B101" s="45" t="s">
        <v>337</v>
      </c>
      <c r="C101" s="45" t="s">
        <v>74</v>
      </c>
      <c r="D101" s="45" t="str">
        <f t="shared" si="1"/>
        <v>ÜÜRITAV PINDSakraalruum45 Sakraalruumid</v>
      </c>
    </row>
    <row r="102" spans="1:4" x14ac:dyDescent="0.25">
      <c r="A102" s="45" t="s">
        <v>338</v>
      </c>
      <c r="B102" s="45" t="s">
        <v>296</v>
      </c>
      <c r="C102" s="45" t="s">
        <v>74</v>
      </c>
      <c r="D102" s="45" t="str">
        <f t="shared" si="1"/>
        <v>ÜÜRITAV PINDSalong22 Äriruumid</v>
      </c>
    </row>
    <row r="103" spans="1:4" x14ac:dyDescent="0.25">
      <c r="A103" s="45" t="s">
        <v>339</v>
      </c>
      <c r="B103" s="45" t="s">
        <v>76</v>
      </c>
      <c r="C103" s="45" t="s">
        <v>74</v>
      </c>
      <c r="D103" s="45" t="str">
        <f t="shared" si="1"/>
        <v>ÜÜRITAV PINDServer23 Äriruumide abiruumid</v>
      </c>
    </row>
    <row r="104" spans="1:4" x14ac:dyDescent="0.25">
      <c r="A104" s="45" t="s">
        <v>340</v>
      </c>
      <c r="B104" s="45" t="s">
        <v>341</v>
      </c>
      <c r="C104" s="45" t="s">
        <v>74</v>
      </c>
      <c r="D104" s="45" t="str">
        <f t="shared" si="1"/>
        <v>ÜÜRITAV PINDSpordiruum/-saal47 Spordiruumid</v>
      </c>
    </row>
    <row r="105" spans="1:4" x14ac:dyDescent="0.25">
      <c r="A105" s="45" t="s">
        <v>342</v>
      </c>
      <c r="B105" s="45" t="s">
        <v>296</v>
      </c>
      <c r="C105" s="45" t="s">
        <v>74</v>
      </c>
      <c r="D105" s="45" t="str">
        <f t="shared" si="1"/>
        <v>ÜÜRITAV PINDStuudio22 Äriruumid</v>
      </c>
    </row>
    <row r="106" spans="1:4" x14ac:dyDescent="0.25">
      <c r="A106" s="45" t="s">
        <v>343</v>
      </c>
      <c r="B106" s="45" t="s">
        <v>344</v>
      </c>
      <c r="C106" s="45" t="s">
        <v>74</v>
      </c>
      <c r="D106" s="45" t="str">
        <f t="shared" si="1"/>
        <v>ÜÜRITAV PINDSuitsetamise ruum79 Liigitamata sotsiaal- ja puhkeruumid</v>
      </c>
    </row>
    <row r="107" spans="1:4" x14ac:dyDescent="0.25">
      <c r="A107" s="45" t="s">
        <v>345</v>
      </c>
      <c r="B107" s="45" t="s">
        <v>346</v>
      </c>
      <c r="C107" s="45" t="s">
        <v>74</v>
      </c>
      <c r="D107" s="45" t="str">
        <f t="shared" si="1"/>
        <v>ÜÜRITAV PINDSöökla/Kohvik61 Toitlustusruumid</v>
      </c>
    </row>
    <row r="108" spans="1:4" x14ac:dyDescent="0.25">
      <c r="A108" s="45" t="s">
        <v>347</v>
      </c>
      <c r="B108" s="45" t="s">
        <v>327</v>
      </c>
      <c r="C108" s="45" t="s">
        <v>74</v>
      </c>
      <c r="D108" s="45" t="str">
        <f t="shared" si="1"/>
        <v>ÜÜRITAV PINDTalveaed89 Liigitamata ühisruumid</v>
      </c>
    </row>
    <row r="109" spans="1:4" x14ac:dyDescent="0.25">
      <c r="A109" s="45" t="s">
        <v>348</v>
      </c>
      <c r="B109" s="45" t="s">
        <v>349</v>
      </c>
      <c r="C109" s="45" t="s">
        <v>74</v>
      </c>
      <c r="D109" s="45" t="str">
        <f t="shared" si="1"/>
        <v>ÜÜRITAV PINDTervishoiuruum42 Tervishoiuruumid</v>
      </c>
    </row>
    <row r="110" spans="1:4" x14ac:dyDescent="0.25">
      <c r="A110" s="45" t="s">
        <v>350</v>
      </c>
      <c r="B110" s="45" t="s">
        <v>327</v>
      </c>
      <c r="C110" s="45" t="s">
        <v>74</v>
      </c>
      <c r="D110" s="45" t="str">
        <f t="shared" si="1"/>
        <v>ÜÜRITAV PINDTorn/Platvorm89 Liigitamata ühisruumid</v>
      </c>
    </row>
    <row r="111" spans="1:4" x14ac:dyDescent="0.25">
      <c r="A111" s="45" t="s">
        <v>351</v>
      </c>
      <c r="B111" s="45" t="s">
        <v>72</v>
      </c>
      <c r="C111" s="45" t="s">
        <v>74</v>
      </c>
      <c r="D111" s="45" t="str">
        <f t="shared" si="1"/>
        <v>ÜÜRITAV PINDTorulifti ruum92 Vertikaalliiklusruumid</v>
      </c>
    </row>
    <row r="112" spans="1:4" x14ac:dyDescent="0.25">
      <c r="A112" s="45" t="s">
        <v>145</v>
      </c>
      <c r="B112" s="45" t="s">
        <v>146</v>
      </c>
      <c r="C112" s="45" t="s">
        <v>74</v>
      </c>
      <c r="D112" s="45" t="str">
        <f t="shared" si="1"/>
        <v>ÜÜRITAV PINDTuulekoda83 Sissepääsuruumid</v>
      </c>
    </row>
    <row r="113" spans="1:4" x14ac:dyDescent="0.25">
      <c r="A113" s="45" t="s">
        <v>352</v>
      </c>
      <c r="B113" s="45" t="s">
        <v>353</v>
      </c>
      <c r="C113" s="45" t="s">
        <v>74</v>
      </c>
      <c r="D113" s="45" t="str">
        <f t="shared" si="1"/>
        <v>ÜÜRITAV PINDTöökoda35 Kutseõppeasutuse töökojad</v>
      </c>
    </row>
    <row r="114" spans="1:4" x14ac:dyDescent="0.25">
      <c r="A114" s="45" t="s">
        <v>352</v>
      </c>
      <c r="B114" s="45" t="s">
        <v>318</v>
      </c>
      <c r="C114" s="45" t="s">
        <v>74</v>
      </c>
      <c r="D114" s="45" t="str">
        <f t="shared" si="1"/>
        <v>ÜÜRITAV PINDTöökoda41 Tootmisruumid</v>
      </c>
    </row>
    <row r="115" spans="1:4" x14ac:dyDescent="0.25">
      <c r="A115" s="45" t="s">
        <v>352</v>
      </c>
      <c r="B115" s="45" t="s">
        <v>275</v>
      </c>
      <c r="C115" s="45" t="s">
        <v>74</v>
      </c>
      <c r="D115" s="45" t="str">
        <f t="shared" si="1"/>
        <v>ÜÜRITAV PINDTöökoda49 Ruumigrupi liigitamata eriruumid</v>
      </c>
    </row>
    <row r="116" spans="1:4" x14ac:dyDescent="0.25">
      <c r="A116" s="45" t="s">
        <v>354</v>
      </c>
      <c r="B116" s="45" t="s">
        <v>341</v>
      </c>
      <c r="C116" s="45" t="s">
        <v>74</v>
      </c>
      <c r="D116" s="45" t="str">
        <f t="shared" si="1"/>
        <v>ÜÜRITAV PINDUjula47 Spordiruumid</v>
      </c>
    </row>
    <row r="117" spans="1:4" x14ac:dyDescent="0.25">
      <c r="A117" s="45" t="s">
        <v>355</v>
      </c>
      <c r="B117" s="45" t="s">
        <v>356</v>
      </c>
      <c r="C117" s="45" t="s">
        <v>74</v>
      </c>
      <c r="D117" s="45" t="str">
        <f t="shared" si="1"/>
        <v>ÜÜRITAV PINDValveruum38 Valveruumid</v>
      </c>
    </row>
    <row r="118" spans="1:4" x14ac:dyDescent="0.25">
      <c r="A118" s="45" t="s">
        <v>357</v>
      </c>
      <c r="B118" s="45" t="s">
        <v>358</v>
      </c>
      <c r="C118" s="45" t="s">
        <v>74</v>
      </c>
      <c r="D118" s="45" t="str">
        <f t="shared" si="1"/>
        <v>ÜÜRITAV PINDVarjend81 Varjendid</v>
      </c>
    </row>
    <row r="119" spans="1:4" x14ac:dyDescent="0.25">
      <c r="A119" s="45" t="s">
        <v>108</v>
      </c>
      <c r="B119" s="45" t="s">
        <v>109</v>
      </c>
      <c r="C119" s="45" t="s">
        <v>74</v>
      </c>
      <c r="D119" s="45" t="str">
        <f t="shared" si="1"/>
        <v>ÜÜRITAV PINDWC73 WC-ruumid</v>
      </c>
    </row>
    <row r="120" spans="1:4" x14ac:dyDescent="0.25">
      <c r="A120" s="45"/>
      <c r="B120" s="45"/>
      <c r="C120" s="45" t="s">
        <v>117</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5" x14ac:dyDescent="0.25"/>
  <cols>
    <col min="1" max="3" width="9.140625" style="1"/>
    <col min="4" max="5" width="42.85546875" style="1" bestFit="1" customWidth="1"/>
    <col min="6" max="6" width="7.42578125" style="1" bestFit="1" customWidth="1"/>
    <col min="7" max="7" width="7.42578125" style="1" customWidth="1"/>
    <col min="8" max="9" width="9.140625" style="1"/>
    <col min="10" max="10" width="42.85546875" style="1" bestFit="1" customWidth="1"/>
    <col min="12" max="12" width="29" bestFit="1" customWidth="1"/>
    <col min="13" max="13" width="17.85546875" bestFit="1" customWidth="1"/>
  </cols>
  <sheetData>
    <row r="1" spans="1:13" x14ac:dyDescent="0.25">
      <c r="A1" s="3" t="s">
        <v>359</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157</v>
      </c>
      <c r="L1" s="4" t="s">
        <v>4</v>
      </c>
      <c r="M1" s="4" t="s">
        <v>360</v>
      </c>
    </row>
    <row r="2" spans="1:13" x14ac:dyDescent="0.25">
      <c r="A2" s="3" t="s">
        <v>361</v>
      </c>
      <c r="C2" s="4">
        <f>C1</f>
        <v>-5</v>
      </c>
      <c r="D2" s="4" t="s">
        <v>362</v>
      </c>
      <c r="E2" s="4" t="s">
        <v>74</v>
      </c>
      <c r="F2" s="6" t="str">
        <f>IF('Hoone üldandmed'!$B$4="","",IF(IF(C2&gt;='Hoone üldandmed'!$B$4*1,TRUE,FALSE),C2,""))</f>
        <v/>
      </c>
      <c r="G2" s="6" t="b">
        <f>IF('Hoone üldandmed'!$B$4="",FALSE,IF(C2&gt;='Hoone üldandmed'!$B$4*1,TRUE,FALSE))</f>
        <v>0</v>
      </c>
      <c r="H2" s="4"/>
      <c r="I2" s="1">
        <f>COUNTIFS($C$1:C2,C2)</f>
        <v>2</v>
      </c>
      <c r="J2" s="4" t="s">
        <v>104</v>
      </c>
      <c r="L2" s="4" t="s">
        <v>93</v>
      </c>
      <c r="M2" s="4" t="s">
        <v>363</v>
      </c>
    </row>
    <row r="3" spans="1:13" x14ac:dyDescent="0.25">
      <c r="A3" s="3" t="s">
        <v>364</v>
      </c>
      <c r="C3" s="4">
        <f t="shared" ref="C3:C10" si="0">C2</f>
        <v>-5</v>
      </c>
      <c r="D3" s="4" t="s">
        <v>365</v>
      </c>
      <c r="E3" s="4" t="s">
        <v>70</v>
      </c>
      <c r="F3" s="6" t="str">
        <f>IF('Hoone üldandmed'!$B$4="","",IF(IF(C3&gt;='Hoone üldandmed'!$B$4*1,TRUE,FALSE),C3,""))</f>
        <v/>
      </c>
      <c r="G3" s="6" t="b">
        <f>IF('Hoone üldandmed'!$B$4="",FALSE,IF(C3&gt;='Hoone üldandmed'!$B$4*1,TRUE,FALSE))</f>
        <v>0</v>
      </c>
      <c r="H3" s="4"/>
      <c r="I3" s="1">
        <f>COUNTIFS($C$1:C3,C3)</f>
        <v>3</v>
      </c>
      <c r="J3" s="4" t="s">
        <v>70</v>
      </c>
      <c r="L3" s="4" t="s">
        <v>6</v>
      </c>
      <c r="M3" s="4" t="s">
        <v>366</v>
      </c>
    </row>
    <row r="4" spans="1:13" x14ac:dyDescent="0.25">
      <c r="A4" s="3" t="s">
        <v>367</v>
      </c>
      <c r="C4" s="4">
        <f t="shared" si="0"/>
        <v>-5</v>
      </c>
      <c r="D4" s="4" t="s">
        <v>368</v>
      </c>
      <c r="E4" s="4" t="s">
        <v>104</v>
      </c>
      <c r="F4" s="6" t="str">
        <f>IF('Hoone üldandmed'!$B$4="","",IF(IF(C4&gt;='Hoone üldandmed'!$B$4*1,TRUE,FALSE),C4,""))</f>
        <v/>
      </c>
      <c r="G4" s="6" t="b">
        <f>IF('Hoone üldandmed'!$B$4="",FALSE,IF(C4&gt;='Hoone üldandmed'!$B$4*1,TRUE,FALSE))</f>
        <v>0</v>
      </c>
      <c r="H4" s="4"/>
      <c r="I4" s="1">
        <f>COUNTIFS($C$1:C4,C4)</f>
        <v>4</v>
      </c>
      <c r="J4" s="4" t="s">
        <v>74</v>
      </c>
      <c r="L4" s="4" t="s">
        <v>369</v>
      </c>
      <c r="M4" s="4" t="s">
        <v>370</v>
      </c>
    </row>
    <row r="5" spans="1:13" x14ac:dyDescent="0.25">
      <c r="A5" s="3" t="s">
        <v>371</v>
      </c>
      <c r="C5" s="4">
        <f t="shared" si="0"/>
        <v>-5</v>
      </c>
      <c r="D5" s="4" t="s">
        <v>372</v>
      </c>
      <c r="E5" s="4"/>
      <c r="F5" s="6" t="str">
        <f>IF('Hoone üldandmed'!$B$4="","",IF(IF(C5&gt;='Hoone üldandmed'!$B$4*1,TRUE,FALSE),C5,""))</f>
        <v/>
      </c>
      <c r="G5" s="6" t="b">
        <f>IF('Hoone üldandmed'!$B$4="",FALSE,IF(C5&gt;='Hoone üldandmed'!$B$4*1,TRUE,FALSE))</f>
        <v>0</v>
      </c>
      <c r="H5" s="4"/>
      <c r="I5" s="1">
        <f>COUNTIFS($C$1:C5,C5)</f>
        <v>5</v>
      </c>
      <c r="J5" s="4" t="s">
        <v>117</v>
      </c>
      <c r="L5" s="4" t="s">
        <v>373</v>
      </c>
      <c r="M5" s="4" t="s">
        <v>374</v>
      </c>
    </row>
    <row r="6" spans="1:13" x14ac:dyDescent="0.25">
      <c r="A6" s="3" t="s">
        <v>33</v>
      </c>
      <c r="C6" s="4">
        <f t="shared" si="0"/>
        <v>-5</v>
      </c>
      <c r="D6" s="4" t="s">
        <v>375</v>
      </c>
      <c r="E6" s="4" t="s">
        <v>376</v>
      </c>
      <c r="F6" s="6" t="str">
        <f>IF('Hoone üldandmed'!$B$4="","",IF(IF(C6&gt;='Hoone üldandmed'!$B$4*1,TRUE,FALSE),C6,""))</f>
        <v/>
      </c>
      <c r="G6" s="6" t="b">
        <f>IF('Hoone üldandmed'!$B$4="",FALSE,IF(C6&gt;='Hoone üldandmed'!$B$4*1,TRUE,FALSE))</f>
        <v>0</v>
      </c>
      <c r="H6" s="4"/>
      <c r="I6" s="1">
        <f>COUNTIFS($C$1:C6,C6)</f>
        <v>6</v>
      </c>
      <c r="L6" s="4" t="s">
        <v>114</v>
      </c>
      <c r="M6" s="4" t="s">
        <v>377</v>
      </c>
    </row>
    <row r="7" spans="1:13" x14ac:dyDescent="0.25">
      <c r="A7" s="3" t="s">
        <v>126</v>
      </c>
      <c r="C7" s="4">
        <f t="shared" si="0"/>
        <v>-5</v>
      </c>
      <c r="D7" s="4" t="s">
        <v>378</v>
      </c>
      <c r="E7" s="4"/>
      <c r="F7" s="6" t="str">
        <f>IF('Hoone üldandmed'!$B$4="","",IF(IF(C7&gt;='Hoone üldandmed'!$B$4*1,TRUE,FALSE),C7,""))</f>
        <v/>
      </c>
      <c r="G7" s="6" t="b">
        <f>IF('Hoone üldandmed'!$B$4="",FALSE,IF(C7&gt;='Hoone üldandmed'!$B$4*1,TRUE,FALSE))</f>
        <v>0</v>
      </c>
      <c r="H7" s="4"/>
      <c r="I7" s="1">
        <f>COUNTIFS($C$1:C7,C7)</f>
        <v>7</v>
      </c>
    </row>
    <row r="8" spans="1:13" x14ac:dyDescent="0.25">
      <c r="A8" s="3" t="s">
        <v>166</v>
      </c>
      <c r="C8" s="4">
        <f>C7</f>
        <v>-5</v>
      </c>
      <c r="D8" s="4" t="s">
        <v>379</v>
      </c>
      <c r="E8" s="4"/>
      <c r="F8" s="6" t="str">
        <f>IF('Hoone üldandmed'!$B$4="","",IF(IF(C8&gt;='Hoone üldandmed'!$B$4*1,TRUE,FALSE),C8,""))</f>
        <v/>
      </c>
      <c r="G8" s="6" t="b">
        <f>IF('Hoone üldandmed'!$B$4="",FALSE,IF(C8&gt;='Hoone üldandmed'!$B$4*1,TRUE,FALSE))</f>
        <v>0</v>
      </c>
      <c r="H8" s="4"/>
      <c r="I8" s="1">
        <f>COUNTIFS($C$1:C8,C8)</f>
        <v>8</v>
      </c>
    </row>
    <row r="9" spans="1:13" x14ac:dyDescent="0.25">
      <c r="A9" s="3" t="s">
        <v>203</v>
      </c>
      <c r="C9" s="4">
        <f t="shared" si="0"/>
        <v>-5</v>
      </c>
      <c r="D9" s="4" t="s">
        <v>380</v>
      </c>
      <c r="E9" s="4" t="s">
        <v>157</v>
      </c>
      <c r="F9" s="6" t="str">
        <f>IF('Hoone üldandmed'!$B$4="","",IF(IF(C9&gt;='Hoone üldandmed'!$B$4*1,TRUE,FALSE),C9,""))</f>
        <v/>
      </c>
      <c r="G9" s="6" t="b">
        <f>IF('Hoone üldandmed'!$B$4="",FALSE,IF(C9&gt;='Hoone üldandmed'!$B$4*1,TRUE,FALSE))</f>
        <v>0</v>
      </c>
      <c r="H9" s="4"/>
      <c r="I9" s="1">
        <f>COUNTIFS($C$1:C9,C9)</f>
        <v>9</v>
      </c>
    </row>
    <row r="10" spans="1:13" x14ac:dyDescent="0.25">
      <c r="A10" s="3" t="s">
        <v>31</v>
      </c>
      <c r="C10" s="4">
        <f t="shared" si="0"/>
        <v>-5</v>
      </c>
      <c r="D10" s="4" t="s">
        <v>381</v>
      </c>
      <c r="E10" s="4" t="s">
        <v>117</v>
      </c>
      <c r="F10" s="6" t="str">
        <f>IF('Hoone üldandmed'!$B$4="","",IF(IF(C10&gt;='Hoone üldandmed'!$B$4*1,TRUE,FALSE),C10,""))</f>
        <v/>
      </c>
      <c r="G10" s="6" t="b">
        <f>IF('Hoone üldandmed'!$B$4="",FALSE,IF(C10&gt;='Hoone üldandmed'!$B$4*1,TRUE,FALSE))</f>
        <v>0</v>
      </c>
      <c r="H10" s="4"/>
    </row>
    <row r="11" spans="1:13" x14ac:dyDescent="0.25">
      <c r="A11" s="3" t="s">
        <v>382</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383</v>
      </c>
      <c r="C12" s="4">
        <f t="shared" si="1"/>
        <v>-4</v>
      </c>
      <c r="D12" s="4" t="s">
        <v>362</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384</v>
      </c>
      <c r="C13" s="4">
        <f t="shared" si="1"/>
        <v>-4</v>
      </c>
      <c r="D13" s="4" t="s">
        <v>365</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385</v>
      </c>
      <c r="C14" s="4">
        <f t="shared" si="1"/>
        <v>-4</v>
      </c>
      <c r="D14" s="4" t="s">
        <v>368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386</v>
      </c>
      <c r="C15" s="4">
        <f t="shared" si="1"/>
        <v>-4</v>
      </c>
      <c r="D15" s="4" t="s">
        <v>372</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387</v>
      </c>
      <c r="C16" s="4">
        <f t="shared" si="1"/>
        <v>-4</v>
      </c>
      <c r="D16" s="4" t="s">
        <v>375</v>
      </c>
      <c r="E16" s="4" t="s">
        <v>376</v>
      </c>
      <c r="F16" s="6" t="str">
        <f>IF('Hoone üldandmed'!$B$4="","",IF(IF(C16&gt;='Hoone üldandmed'!$B$4*1,TRUE,FALSE),C16,""))</f>
        <v/>
      </c>
      <c r="G16" s="6" t="b">
        <f>IF('Hoone üldandmed'!$B$4="",FALSE,IF(C16&gt;='Hoone üldandmed'!$B$4*1,TRUE,FALSE))</f>
        <v>0</v>
      </c>
      <c r="H16" s="4"/>
      <c r="I16" s="1">
        <f>COUNTIFS($C$1:C16,C16)</f>
        <v>6</v>
      </c>
    </row>
    <row r="17" spans="1:9" x14ac:dyDescent="0.25">
      <c r="A17" s="3" t="s">
        <v>388</v>
      </c>
      <c r="C17" s="4">
        <f t="shared" si="1"/>
        <v>-4</v>
      </c>
      <c r="D17" s="4" t="s">
        <v>378</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389</v>
      </c>
      <c r="C18" s="4">
        <f t="shared" si="1"/>
        <v>-4</v>
      </c>
      <c r="D18" s="4" t="s">
        <v>379</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390</v>
      </c>
      <c r="C19" s="4">
        <f t="shared" si="1"/>
        <v>-4</v>
      </c>
      <c r="D19" s="4" t="s">
        <v>380</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391</v>
      </c>
      <c r="C20" s="4">
        <f t="shared" si="1"/>
        <v>-4</v>
      </c>
      <c r="D20" s="4" t="s">
        <v>381</v>
      </c>
      <c r="E20" s="4" t="s">
        <v>117</v>
      </c>
      <c r="F20" s="6" t="str">
        <f>IF('Hoone üldandmed'!$B$4="","",IF(IF(C20&gt;='Hoone üldandmed'!$B$4*1,TRUE,FALSE),C20,""))</f>
        <v/>
      </c>
      <c r="G20" s="6" t="b">
        <f>IF('Hoone üldandmed'!$B$4="",FALSE,IF(C20&gt;='Hoone üldandmed'!$B$4*1,TRUE,FALSE))</f>
        <v>0</v>
      </c>
      <c r="H20" s="4"/>
    </row>
    <row r="21" spans="1:9" x14ac:dyDescent="0.25">
      <c r="A21" s="3" t="s">
        <v>392</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393</v>
      </c>
      <c r="C22" s="4">
        <f t="shared" si="1"/>
        <v>-3</v>
      </c>
      <c r="D22" s="4" t="s">
        <v>362</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394</v>
      </c>
      <c r="C23" s="4">
        <f t="shared" si="1"/>
        <v>-3</v>
      </c>
      <c r="D23" s="4" t="s">
        <v>365</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395</v>
      </c>
      <c r="C24" s="4">
        <f t="shared" si="1"/>
        <v>-3</v>
      </c>
      <c r="D24" s="4" t="s">
        <v>368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396</v>
      </c>
      <c r="C25" s="4">
        <f t="shared" si="1"/>
        <v>-3</v>
      </c>
      <c r="D25" s="4" t="s">
        <v>372</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397</v>
      </c>
      <c r="C26" s="4">
        <f t="shared" si="1"/>
        <v>-3</v>
      </c>
      <c r="D26" s="4" t="s">
        <v>375</v>
      </c>
      <c r="E26" s="4" t="s">
        <v>376</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378</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379</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380</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381</v>
      </c>
      <c r="E30" s="4" t="s">
        <v>117</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362</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365</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368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372</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375</v>
      </c>
      <c r="E36" s="4" t="s">
        <v>376</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378</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379</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380</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381</v>
      </c>
      <c r="E40" s="4" t="s">
        <v>117</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362</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365</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368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372</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375</v>
      </c>
      <c r="E46" s="4" t="s">
        <v>376</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378</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379</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380</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381</v>
      </c>
      <c r="E50" s="4" t="s">
        <v>117</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362</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365</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368</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372</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375</v>
      </c>
      <c r="E56" s="4" t="s">
        <v>376</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378</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379</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380</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381</v>
      </c>
      <c r="E60" s="4" t="s">
        <v>117</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362</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365</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368</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372</v>
      </c>
      <c r="E65" s="4" t="str">
        <f>IF(E55=0,"",E55)</f>
        <v/>
      </c>
      <c r="F65" s="7">
        <f>IF(IF(C65&lt;='Hoone üldandmed'!$B$3*1,TRUE,FALSE),C65,"")</f>
        <v>1</v>
      </c>
      <c r="G65" s="7" t="b">
        <f>IF(C65&lt;='Hoone üldandmed'!$B$3*1,TRUE,FALSE)</f>
        <v>1</v>
      </c>
      <c r="H65" s="4"/>
      <c r="I65" s="1">
        <f>COUNTIFS($C$1:C65,C65)</f>
        <v>5</v>
      </c>
    </row>
    <row r="66" spans="3:9" x14ac:dyDescent="0.25">
      <c r="C66" s="4">
        <f t="shared" si="2"/>
        <v>1</v>
      </c>
      <c r="D66" s="4" t="s">
        <v>375</v>
      </c>
      <c r="E66" s="4" t="s">
        <v>376</v>
      </c>
      <c r="F66" s="7">
        <f>IF(IF(C66&lt;='Hoone üldandmed'!$B$3*1,TRUE,FALSE),C66,"")</f>
        <v>1</v>
      </c>
      <c r="G66" s="7" t="b">
        <f>IF(C66&lt;='Hoone üldandmed'!$B$3*1,TRUE,FALSE)</f>
        <v>1</v>
      </c>
      <c r="H66" s="4"/>
      <c r="I66" s="1">
        <f>COUNTIFS($C$1:C66,C66)</f>
        <v>6</v>
      </c>
    </row>
    <row r="67" spans="3:9" x14ac:dyDescent="0.25">
      <c r="C67" s="4">
        <f t="shared" ref="C67:C76" si="3">C57+1</f>
        <v>1</v>
      </c>
      <c r="D67" s="4" t="s">
        <v>378</v>
      </c>
      <c r="E67" s="4" t="str">
        <f>IF(E57=0,"",E57)</f>
        <v/>
      </c>
      <c r="F67" s="7">
        <f>IF(IF(C67&lt;='Hoone üldandmed'!$B$3*1,TRUE,FALSE),C67,"")</f>
        <v>1</v>
      </c>
      <c r="G67" s="7" t="b">
        <f>IF(C67&lt;='Hoone üldandmed'!$B$3*1,TRUE,FALSE)</f>
        <v>1</v>
      </c>
      <c r="H67" s="4"/>
      <c r="I67" s="1">
        <f>COUNTIFS($C$1:C67,C67)</f>
        <v>7</v>
      </c>
    </row>
    <row r="68" spans="3:9" x14ac:dyDescent="0.25">
      <c r="C68" s="4">
        <f t="shared" si="3"/>
        <v>1</v>
      </c>
      <c r="D68" s="4" t="s">
        <v>379</v>
      </c>
      <c r="E68" s="4" t="str">
        <f>IF(E58=0,"",E58)</f>
        <v/>
      </c>
      <c r="F68" s="7">
        <f>IF(IF(C68&lt;='Hoone üldandmed'!$B$3*1,TRUE,FALSE),C68,"")</f>
        <v>1</v>
      </c>
      <c r="G68" s="7" t="b">
        <f>IF(C68&lt;='Hoone üldandmed'!$B$3*1,TRUE,FALSE)</f>
        <v>1</v>
      </c>
      <c r="H68" s="4"/>
      <c r="I68" s="1">
        <f>COUNTIFS($C$1:C68,C68)</f>
        <v>8</v>
      </c>
    </row>
    <row r="69" spans="3:9" x14ac:dyDescent="0.25">
      <c r="C69" s="4">
        <f t="shared" si="3"/>
        <v>1</v>
      </c>
      <c r="D69" s="4" t="s">
        <v>380</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381</v>
      </c>
      <c r="E70" s="4" t="s">
        <v>117</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362</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365</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368</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372</v>
      </c>
      <c r="E75" s="4" t="str">
        <f>IF(E65=0,"",E65)</f>
        <v/>
      </c>
      <c r="F75" s="7">
        <f>IF(IF(C75&lt;='Hoone üldandmed'!$B$3*1,TRUE,FALSE),C75,"")</f>
        <v>2</v>
      </c>
      <c r="G75" s="7" t="b">
        <f>IF(C75&lt;='Hoone üldandmed'!$B$3*1,TRUE,FALSE)</f>
        <v>1</v>
      </c>
      <c r="H75" s="4"/>
      <c r="I75" s="1">
        <f>COUNTIFS($C$1:C75,C75)</f>
        <v>5</v>
      </c>
    </row>
    <row r="76" spans="3:9" x14ac:dyDescent="0.25">
      <c r="C76" s="4">
        <f t="shared" si="3"/>
        <v>2</v>
      </c>
      <c r="D76" s="4" t="s">
        <v>375</v>
      </c>
      <c r="E76" s="4" t="s">
        <v>376</v>
      </c>
      <c r="F76" s="7">
        <f>IF(IF(C76&lt;='Hoone üldandmed'!$B$3*1,TRUE,FALSE),C76,"")</f>
        <v>2</v>
      </c>
      <c r="G76" s="7" t="b">
        <f>IF(C76&lt;='Hoone üldandmed'!$B$3*1,TRUE,FALSE)</f>
        <v>1</v>
      </c>
      <c r="H76" s="4"/>
      <c r="I76" s="1">
        <f>COUNTIFS($C$1:C76,C76)</f>
        <v>6</v>
      </c>
    </row>
    <row r="77" spans="3:9" x14ac:dyDescent="0.25">
      <c r="C77" s="4">
        <f t="shared" ref="C77:C86" si="4">C67+1</f>
        <v>2</v>
      </c>
      <c r="D77" s="4" t="s">
        <v>378</v>
      </c>
      <c r="E77" s="4" t="str">
        <f>IF(E67=0,"",E67)</f>
        <v/>
      </c>
      <c r="F77" s="7">
        <f>IF(IF(C77&lt;='Hoone üldandmed'!$B$3*1,TRUE,FALSE),C77,"")</f>
        <v>2</v>
      </c>
      <c r="G77" s="7" t="b">
        <f>IF(C77&lt;='Hoone üldandmed'!$B$3*1,TRUE,FALSE)</f>
        <v>1</v>
      </c>
      <c r="H77" s="4"/>
      <c r="I77" s="1">
        <f>COUNTIFS($C$1:C77,C77)</f>
        <v>7</v>
      </c>
    </row>
    <row r="78" spans="3:9" x14ac:dyDescent="0.25">
      <c r="C78" s="4">
        <f t="shared" si="4"/>
        <v>2</v>
      </c>
      <c r="D78" s="4" t="s">
        <v>379</v>
      </c>
      <c r="E78" s="4" t="str">
        <f>IF(E68=0,"",E68)</f>
        <v/>
      </c>
      <c r="F78" s="7">
        <f>IF(IF(C78&lt;='Hoone üldandmed'!$B$3*1,TRUE,FALSE),C78,"")</f>
        <v>2</v>
      </c>
      <c r="G78" s="7" t="b">
        <f>IF(C78&lt;='Hoone üldandmed'!$B$3*1,TRUE,FALSE)</f>
        <v>1</v>
      </c>
      <c r="H78" s="4"/>
      <c r="I78" s="1">
        <f>COUNTIFS($C$1:C78,C78)</f>
        <v>8</v>
      </c>
    </row>
    <row r="79" spans="3:9" x14ac:dyDescent="0.25">
      <c r="C79" s="4">
        <f t="shared" si="4"/>
        <v>2</v>
      </c>
      <c r="D79" s="4" t="s">
        <v>380</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381</v>
      </c>
      <c r="E80" s="4" t="s">
        <v>117</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362</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365</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368</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372</v>
      </c>
      <c r="E85" s="4" t="str">
        <f>IF(E75=0,"",E75)</f>
        <v/>
      </c>
      <c r="F85" s="7">
        <f>IF(IF(C85&lt;='Hoone üldandmed'!$B$3*1,TRUE,FALSE),C85,"")</f>
        <v>3</v>
      </c>
      <c r="G85" s="7" t="b">
        <f>IF(C85&lt;='Hoone üldandmed'!$B$3*1,TRUE,FALSE)</f>
        <v>1</v>
      </c>
      <c r="H85" s="4"/>
      <c r="I85" s="1">
        <f>COUNTIFS($C$1:C85,C85)</f>
        <v>5</v>
      </c>
    </row>
    <row r="86" spans="3:9" x14ac:dyDescent="0.25">
      <c r="C86" s="4">
        <f t="shared" si="4"/>
        <v>3</v>
      </c>
      <c r="D86" s="4" t="s">
        <v>375</v>
      </c>
      <c r="E86" s="4" t="s">
        <v>376</v>
      </c>
      <c r="F86" s="7">
        <f>IF(IF(C86&lt;='Hoone üldandmed'!$B$3*1,TRUE,FALSE),C86,"")</f>
        <v>3</v>
      </c>
      <c r="G86" s="7" t="b">
        <f>IF(C86&lt;='Hoone üldandmed'!$B$3*1,TRUE,FALSE)</f>
        <v>1</v>
      </c>
      <c r="H86" s="4"/>
      <c r="I86" s="1">
        <f>COUNTIFS($C$1:C86,C86)</f>
        <v>6</v>
      </c>
    </row>
    <row r="87" spans="3:9" x14ac:dyDescent="0.25">
      <c r="C87" s="4">
        <f t="shared" ref="C87:C96" si="5">C77+1</f>
        <v>3</v>
      </c>
      <c r="D87" s="4" t="s">
        <v>378</v>
      </c>
      <c r="E87" s="4" t="str">
        <f>IF(E77=0,"",E77)</f>
        <v/>
      </c>
      <c r="F87" s="7">
        <f>IF(IF(C87&lt;='Hoone üldandmed'!$B$3*1,TRUE,FALSE),C87,"")</f>
        <v>3</v>
      </c>
      <c r="G87" s="7" t="b">
        <f>IF(C87&lt;='Hoone üldandmed'!$B$3*1,TRUE,FALSE)</f>
        <v>1</v>
      </c>
      <c r="H87" s="4"/>
      <c r="I87" s="1">
        <f>COUNTIFS($C$1:C87,C87)</f>
        <v>7</v>
      </c>
    </row>
    <row r="88" spans="3:9" x14ac:dyDescent="0.25">
      <c r="C88" s="4">
        <f t="shared" si="5"/>
        <v>3</v>
      </c>
      <c r="D88" s="4" t="s">
        <v>379</v>
      </c>
      <c r="E88" s="4" t="str">
        <f>IF(E78=0,"",E78)</f>
        <v/>
      </c>
      <c r="F88" s="7">
        <f>IF(IF(C88&lt;='Hoone üldandmed'!$B$3*1,TRUE,FALSE),C88,"")</f>
        <v>3</v>
      </c>
      <c r="G88" s="7" t="b">
        <f>IF(C88&lt;='Hoone üldandmed'!$B$3*1,TRUE,FALSE)</f>
        <v>1</v>
      </c>
      <c r="H88" s="4"/>
      <c r="I88" s="1">
        <f>COUNTIFS($C$1:C88,C88)</f>
        <v>8</v>
      </c>
    </row>
    <row r="89" spans="3:9" x14ac:dyDescent="0.25">
      <c r="C89" s="4">
        <f t="shared" si="5"/>
        <v>3</v>
      </c>
      <c r="D89" s="4" t="s">
        <v>380</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381</v>
      </c>
      <c r="E90" s="4" t="s">
        <v>117</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362</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365</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368</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372</v>
      </c>
      <c r="E95" s="4" t="str">
        <f>IF(E85=0,"",E85)</f>
        <v/>
      </c>
      <c r="F95" s="7">
        <f>IF(IF(C95&lt;='Hoone üldandmed'!$B$3*1,TRUE,FALSE),C95,"")</f>
        <v>4</v>
      </c>
      <c r="G95" s="7" t="b">
        <f>IF(C95&lt;='Hoone üldandmed'!$B$3*1,TRUE,FALSE)</f>
        <v>1</v>
      </c>
      <c r="H95" s="4"/>
      <c r="I95" s="1">
        <f>COUNTIFS($C$1:C95,C95)</f>
        <v>5</v>
      </c>
    </row>
    <row r="96" spans="3:9" x14ac:dyDescent="0.25">
      <c r="C96" s="4">
        <f t="shared" si="5"/>
        <v>4</v>
      </c>
      <c r="D96" s="4" t="s">
        <v>375</v>
      </c>
      <c r="E96" s="4" t="s">
        <v>376</v>
      </c>
      <c r="F96" s="7">
        <f>IF(IF(C96&lt;='Hoone üldandmed'!$B$3*1,TRUE,FALSE),C96,"")</f>
        <v>4</v>
      </c>
      <c r="G96" s="7" t="b">
        <f>IF(C96&lt;='Hoone üldandmed'!$B$3*1,TRUE,FALSE)</f>
        <v>1</v>
      </c>
      <c r="H96" s="4"/>
      <c r="I96" s="1">
        <f>COUNTIFS($C$1:C96,C96)</f>
        <v>6</v>
      </c>
    </row>
    <row r="97" spans="3:9" x14ac:dyDescent="0.25">
      <c r="C97" s="4">
        <f t="shared" ref="C97:C106" si="6">C87+1</f>
        <v>4</v>
      </c>
      <c r="D97" s="4" t="s">
        <v>378</v>
      </c>
      <c r="E97" s="4" t="str">
        <f>IF(E87=0,"",E87)</f>
        <v/>
      </c>
      <c r="F97" s="7">
        <f>IF(IF(C97&lt;='Hoone üldandmed'!$B$3*1,TRUE,FALSE),C97,"")</f>
        <v>4</v>
      </c>
      <c r="G97" s="7" t="b">
        <f>IF(C97&lt;='Hoone üldandmed'!$B$3*1,TRUE,FALSE)</f>
        <v>1</v>
      </c>
      <c r="H97" s="4"/>
      <c r="I97" s="1">
        <f>COUNTIFS($C$1:C97,C97)</f>
        <v>7</v>
      </c>
    </row>
    <row r="98" spans="3:9" x14ac:dyDescent="0.25">
      <c r="C98" s="4">
        <f t="shared" si="6"/>
        <v>4</v>
      </c>
      <c r="D98" s="4" t="s">
        <v>379</v>
      </c>
      <c r="E98" s="4" t="str">
        <f>IF(E88=0,"",E88)</f>
        <v/>
      </c>
      <c r="F98" s="7">
        <f>IF(IF(C98&lt;='Hoone üldandmed'!$B$3*1,TRUE,FALSE),C98,"")</f>
        <v>4</v>
      </c>
      <c r="G98" s="7" t="b">
        <f>IF(C98&lt;='Hoone üldandmed'!$B$3*1,TRUE,FALSE)</f>
        <v>1</v>
      </c>
      <c r="H98" s="4"/>
      <c r="I98" s="1">
        <f>COUNTIFS($C$1:C98,C98)</f>
        <v>8</v>
      </c>
    </row>
    <row r="99" spans="3:9" x14ac:dyDescent="0.25">
      <c r="C99" s="4">
        <f t="shared" si="6"/>
        <v>4</v>
      </c>
      <c r="D99" s="4" t="s">
        <v>380</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381</v>
      </c>
      <c r="E100" s="4" t="s">
        <v>117</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25">
      <c r="C102" s="4">
        <f t="shared" si="6"/>
        <v>5</v>
      </c>
      <c r="D102" s="4" t="s">
        <v>362</v>
      </c>
      <c r="E102" s="4" t="str">
        <f>IF(E92=0,"",E92)</f>
        <v>ÜÜRITAV PIND</v>
      </c>
      <c r="F102" s="7" t="str">
        <f>IF(IF(C102&lt;='Hoone üldandmed'!$B$3*1,TRUE,FALSE),C102,"")</f>
        <v/>
      </c>
      <c r="G102" s="7" t="b">
        <f>IF(C102&lt;='Hoone üldandmed'!$B$3*1,TRUE,FALSE)</f>
        <v>0</v>
      </c>
      <c r="H102" s="4"/>
      <c r="I102" s="1">
        <f>COUNTIFS($C$1:C102,C102)</f>
        <v>2</v>
      </c>
    </row>
    <row r="103" spans="3:9" x14ac:dyDescent="0.25">
      <c r="C103" s="4">
        <f t="shared" si="6"/>
        <v>5</v>
      </c>
      <c r="D103" s="4" t="s">
        <v>365</v>
      </c>
      <c r="E103" s="4" t="str">
        <f>IF(E93=0,"",E93)</f>
        <v>VERTIKAALSETE ÜHENDUSTEEDE PIND</v>
      </c>
      <c r="F103" s="7" t="str">
        <f>IF(IF(C103&lt;='Hoone üldandmed'!$B$3*1,TRUE,FALSE),C103,"")</f>
        <v/>
      </c>
      <c r="G103" s="7" t="b">
        <f>IF(C103&lt;='Hoone üldandmed'!$B$3*1,TRUE,FALSE)</f>
        <v>0</v>
      </c>
      <c r="H103" s="4"/>
      <c r="I103" s="1">
        <f>COUNTIFS($C$1:C103,C103)</f>
        <v>3</v>
      </c>
    </row>
    <row r="104" spans="3:9" x14ac:dyDescent="0.25">
      <c r="C104" s="4">
        <f t="shared" si="6"/>
        <v>5</v>
      </c>
      <c r="D104" s="4" t="s">
        <v>368</v>
      </c>
      <c r="E104" s="4" t="str">
        <f>IF(E94=0,"",E94)</f>
        <v>TEHNOPIND</v>
      </c>
      <c r="F104" s="7" t="str">
        <f>IF(IF(C104&lt;='Hoone üldandmed'!$B$3*1,TRUE,FALSE),C104,"")</f>
        <v/>
      </c>
      <c r="G104" s="7" t="b">
        <f>IF(C104&lt;='Hoone üldandmed'!$B$3*1,TRUE,FALSE)</f>
        <v>0</v>
      </c>
      <c r="H104" s="4"/>
      <c r="I104" s="1">
        <f>COUNTIFS($C$1:C104,C104)</f>
        <v>4</v>
      </c>
    </row>
    <row r="105" spans="3:9" x14ac:dyDescent="0.25">
      <c r="C105" s="4">
        <f t="shared" si="6"/>
        <v>5</v>
      </c>
      <c r="D105" s="4" t="s">
        <v>372</v>
      </c>
      <c r="E105" s="4" t="str">
        <f>IF(E95=0,"",E95)</f>
        <v/>
      </c>
      <c r="F105" s="7" t="str">
        <f>IF(IF(C105&lt;='Hoone üldandmed'!$B$3*1,TRUE,FALSE),C105,"")</f>
        <v/>
      </c>
      <c r="G105" s="7" t="b">
        <f>IF(C105&lt;='Hoone üldandmed'!$B$3*1,TRUE,FALSE)</f>
        <v>0</v>
      </c>
      <c r="H105" s="4"/>
      <c r="I105" s="1">
        <f>COUNTIFS($C$1:C105,C105)</f>
        <v>5</v>
      </c>
    </row>
    <row r="106" spans="3:9" x14ac:dyDescent="0.25">
      <c r="C106" s="4">
        <f t="shared" si="6"/>
        <v>5</v>
      </c>
      <c r="D106" s="4" t="s">
        <v>375</v>
      </c>
      <c r="E106" s="4" t="s">
        <v>376</v>
      </c>
      <c r="F106" s="7" t="str">
        <f>IF(IF(C106&lt;='Hoone üldandmed'!$B$3*1,TRUE,FALSE),C106,"")</f>
        <v/>
      </c>
      <c r="G106" s="7" t="b">
        <f>IF(C106&lt;='Hoone üldandmed'!$B$3*1,TRUE,FALSE)</f>
        <v>0</v>
      </c>
      <c r="H106" s="4"/>
      <c r="I106" s="1">
        <f>COUNTIFS($C$1:C106,C106)</f>
        <v>6</v>
      </c>
    </row>
    <row r="107" spans="3:9" x14ac:dyDescent="0.25">
      <c r="C107" s="4">
        <f t="shared" ref="C107:C116" si="7">C97+1</f>
        <v>5</v>
      </c>
      <c r="D107" s="4" t="s">
        <v>378</v>
      </c>
      <c r="E107" s="4" t="str">
        <f>IF(E97=0,"",E97)</f>
        <v/>
      </c>
      <c r="F107" s="7" t="str">
        <f>IF(IF(C107&lt;='Hoone üldandmed'!$B$3*1,TRUE,FALSE),C107,"")</f>
        <v/>
      </c>
      <c r="G107" s="7" t="b">
        <f>IF(C107&lt;='Hoone üldandmed'!$B$3*1,TRUE,FALSE)</f>
        <v>0</v>
      </c>
      <c r="H107" s="4"/>
      <c r="I107" s="1">
        <f>COUNTIFS($C$1:C107,C107)</f>
        <v>7</v>
      </c>
    </row>
    <row r="108" spans="3:9" x14ac:dyDescent="0.25">
      <c r="C108" s="4">
        <f t="shared" si="7"/>
        <v>5</v>
      </c>
      <c r="D108" s="4" t="s">
        <v>379</v>
      </c>
      <c r="E108" s="4" t="str">
        <f>IF(E98=0,"",E98)</f>
        <v/>
      </c>
      <c r="F108" s="7" t="str">
        <f>IF(IF(C108&lt;='Hoone üldandmed'!$B$3*1,TRUE,FALSE),C108,"")</f>
        <v/>
      </c>
      <c r="G108" s="7" t="b">
        <f>IF(C108&lt;='Hoone üldandmed'!$B$3*1,TRUE,FALSE)</f>
        <v>0</v>
      </c>
      <c r="H108" s="4"/>
      <c r="I108" s="1">
        <f>COUNTIFS($C$1:C108,C108)</f>
        <v>8</v>
      </c>
    </row>
    <row r="109" spans="3:9" x14ac:dyDescent="0.25">
      <c r="C109" s="4">
        <f t="shared" si="7"/>
        <v>5</v>
      </c>
      <c r="D109" s="4" t="s">
        <v>380</v>
      </c>
      <c r="E109" s="4" t="str">
        <f>IF(E99=0,"",E99)</f>
        <v>KORRUSE AVATUD NETOPIND</v>
      </c>
      <c r="F109" s="7" t="str">
        <f>IF(IF(C109&lt;='Hoone üldandmed'!$B$3*1,TRUE,FALSE),C109,"")</f>
        <v/>
      </c>
      <c r="G109" s="7" t="b">
        <f>IF(C109&lt;='Hoone üldandmed'!$B$3*1,TRUE,FALSE)</f>
        <v>0</v>
      </c>
      <c r="H109" s="4"/>
      <c r="I109" s="1">
        <f>COUNTIFS($C$1:C109,C109)</f>
        <v>9</v>
      </c>
    </row>
    <row r="110" spans="3:9" x14ac:dyDescent="0.25">
      <c r="C110" s="4">
        <f t="shared" si="7"/>
        <v>5</v>
      </c>
      <c r="D110" s="4" t="s">
        <v>381</v>
      </c>
      <c r="E110" s="4" t="s">
        <v>117</v>
      </c>
      <c r="F110" s="7" t="str">
        <f>IF(IF(C110&lt;='Hoone üldandmed'!$B$3*1,TRUE,FALSE),C110,"")</f>
        <v/>
      </c>
      <c r="G110" s="7" t="b">
        <f>IF(C110&lt;='Hoone üldandmed'!$B$3*1,TRUE,FALSE)</f>
        <v>0</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362</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365</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368</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372</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375</v>
      </c>
      <c r="E116" s="4" t="s">
        <v>376</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378</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379</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380</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381</v>
      </c>
      <c r="E120" s="4" t="s">
        <v>117</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362</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365</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368</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372</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375</v>
      </c>
      <c r="E126" s="4" t="s">
        <v>376</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378</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379</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380</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381</v>
      </c>
      <c r="E130" s="4" t="s">
        <v>117</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362</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365</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368</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372</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375</v>
      </c>
      <c r="E136" s="4" t="s">
        <v>376</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378</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379</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380</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381</v>
      </c>
      <c r="E140" s="4" t="s">
        <v>117</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362</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365</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368</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372</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375</v>
      </c>
      <c r="E146" s="4" t="s">
        <v>376</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378</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379</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380</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381</v>
      </c>
      <c r="E150" s="4" t="s">
        <v>117</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362</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365</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368</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372</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375</v>
      </c>
      <c r="E156" s="4" t="s">
        <v>376</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378</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379</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380</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381</v>
      </c>
      <c r="E160" s="4" t="s">
        <v>117</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362</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365</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368</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372</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375</v>
      </c>
      <c r="E166" s="4" t="s">
        <v>376</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378</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379</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380</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381</v>
      </c>
      <c r="E170" s="4" t="s">
        <v>117</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362</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365</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368</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372</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375</v>
      </c>
      <c r="E176" s="4" t="s">
        <v>376</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378</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379</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380</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381</v>
      </c>
      <c r="E180" s="4" t="s">
        <v>117</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362</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365</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368</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372</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375</v>
      </c>
      <c r="E186" s="4" t="s">
        <v>376</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378</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379</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380</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381</v>
      </c>
      <c r="E190" s="4" t="s">
        <v>117</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362</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365</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368</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372</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375</v>
      </c>
      <c r="E196" s="4" t="s">
        <v>376</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378</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379</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380</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381</v>
      </c>
      <c r="E200" s="4" t="s">
        <v>117</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362</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365</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368</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372</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375</v>
      </c>
      <c r="E206" s="4" t="s">
        <v>376</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378</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379</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380</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381</v>
      </c>
      <c r="E210" s="4" t="s">
        <v>117</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362</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365</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368</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372</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375</v>
      </c>
      <c r="E216" s="4" t="s">
        <v>376</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378</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379</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380</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381</v>
      </c>
      <c r="E220" s="4" t="s">
        <v>117</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362</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365</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368</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372</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375</v>
      </c>
      <c r="E226" s="4" t="s">
        <v>376</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378</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379</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380</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381</v>
      </c>
      <c r="E230" s="4" t="s">
        <v>117</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362</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365</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368</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372</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375</v>
      </c>
      <c r="E236" s="4" t="s">
        <v>376</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378</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379</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380</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381</v>
      </c>
      <c r="E240" s="4" t="s">
        <v>117</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362</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365</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368</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372</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375</v>
      </c>
      <c r="E246" s="4" t="s">
        <v>376</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378</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379</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380</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381</v>
      </c>
      <c r="E250" s="4" t="s">
        <v>117</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362</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365</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368</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372</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375</v>
      </c>
      <c r="E256" s="4" t="s">
        <v>376</v>
      </c>
      <c r="F256" s="7" t="str">
        <f>IF(IF(C256&lt;='Hoone üldandmed'!$B$3*1,TRUE,FALSE),C256,"")</f>
        <v/>
      </c>
      <c r="G256" s="7" t="b">
        <f>IF(C256&lt;='Hoone üldandmed'!$B$3*1,TRUE,FALSE)</f>
        <v>0</v>
      </c>
      <c r="H256" s="4"/>
      <c r="I256" s="1">
        <f>COUNTIFS($C$1:C256,C256)</f>
        <v>6</v>
      </c>
    </row>
    <row r="257" spans="3:9" x14ac:dyDescent="0.25">
      <c r="C257" s="4">
        <f>C247+1</f>
        <v>20</v>
      </c>
      <c r="D257" s="4" t="s">
        <v>378</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379</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380</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381</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85546875" style="1" customWidth="1"/>
    <col min="2" max="2" width="23.85546875" style="1" bestFit="1" customWidth="1"/>
  </cols>
  <sheetData>
    <row r="1" spans="1:2" x14ac:dyDescent="0.25">
      <c r="A1" s="2" t="s">
        <v>249</v>
      </c>
      <c r="B1" s="2" t="s">
        <v>61</v>
      </c>
    </row>
    <row r="2" spans="1:2" x14ac:dyDescent="0.25">
      <c r="A2" s="4" t="s">
        <v>157</v>
      </c>
      <c r="B2" s="4" t="s">
        <v>251</v>
      </c>
    </row>
    <row r="3" spans="1:2" x14ac:dyDescent="0.25">
      <c r="A3" s="4" t="s">
        <v>157</v>
      </c>
      <c r="B3" s="4" t="s">
        <v>252</v>
      </c>
    </row>
    <row r="4" spans="1:2" x14ac:dyDescent="0.25">
      <c r="A4" s="4" t="s">
        <v>157</v>
      </c>
      <c r="B4" s="4" t="s">
        <v>158</v>
      </c>
    </row>
    <row r="5" spans="1:2" x14ac:dyDescent="0.25">
      <c r="A5" s="4" t="s">
        <v>104</v>
      </c>
      <c r="B5" s="4" t="s">
        <v>253</v>
      </c>
    </row>
    <row r="6" spans="1:2" x14ac:dyDescent="0.25">
      <c r="A6" s="4" t="s">
        <v>104</v>
      </c>
      <c r="B6" s="4" t="s">
        <v>254</v>
      </c>
    </row>
    <row r="7" spans="1:2" x14ac:dyDescent="0.25">
      <c r="A7" s="4" t="s">
        <v>104</v>
      </c>
      <c r="B7" s="4" t="s">
        <v>255</v>
      </c>
    </row>
    <row r="8" spans="1:2" x14ac:dyDescent="0.25">
      <c r="A8" s="4" t="s">
        <v>104</v>
      </c>
      <c r="B8" s="4" t="s">
        <v>195</v>
      </c>
    </row>
    <row r="9" spans="1:2" x14ac:dyDescent="0.25">
      <c r="A9" s="4" t="s">
        <v>104</v>
      </c>
      <c r="B9" s="4" t="s">
        <v>256</v>
      </c>
    </row>
    <row r="10" spans="1:2" x14ac:dyDescent="0.25">
      <c r="A10" s="4" t="s">
        <v>104</v>
      </c>
      <c r="B10" s="4" t="s">
        <v>257</v>
      </c>
    </row>
    <row r="11" spans="1:2" x14ac:dyDescent="0.25">
      <c r="A11" s="4" t="s">
        <v>104</v>
      </c>
      <c r="B11" s="4" t="s">
        <v>105</v>
      </c>
    </row>
    <row r="12" spans="1:2" x14ac:dyDescent="0.25">
      <c r="A12" s="4" t="s">
        <v>104</v>
      </c>
      <c r="B12" s="4" t="s">
        <v>258</v>
      </c>
    </row>
    <row r="13" spans="1:2" x14ac:dyDescent="0.25">
      <c r="A13" s="4" t="s">
        <v>104</v>
      </c>
      <c r="B13" s="4" t="s">
        <v>259</v>
      </c>
    </row>
    <row r="14" spans="1:2" x14ac:dyDescent="0.25">
      <c r="A14" s="4" t="s">
        <v>104</v>
      </c>
      <c r="B14" s="4" t="s">
        <v>260</v>
      </c>
    </row>
    <row r="15" spans="1:2" x14ac:dyDescent="0.25">
      <c r="A15" s="4" t="s">
        <v>104</v>
      </c>
      <c r="B15" s="4" t="s">
        <v>261</v>
      </c>
    </row>
    <row r="16" spans="1:2" x14ac:dyDescent="0.25">
      <c r="A16" s="4" t="s">
        <v>104</v>
      </c>
      <c r="B16" s="4" t="s">
        <v>262</v>
      </c>
    </row>
    <row r="17" spans="1:2" x14ac:dyDescent="0.25">
      <c r="A17" s="4" t="s">
        <v>104</v>
      </c>
      <c r="B17" s="4" t="s">
        <v>263</v>
      </c>
    </row>
    <row r="18" spans="1:2" x14ac:dyDescent="0.25">
      <c r="A18" s="4" t="s">
        <v>104</v>
      </c>
      <c r="B18" s="4" t="s">
        <v>264</v>
      </c>
    </row>
    <row r="19" spans="1:2" x14ac:dyDescent="0.25">
      <c r="A19" s="4" t="s">
        <v>104</v>
      </c>
      <c r="B19" s="4" t="s">
        <v>120</v>
      </c>
    </row>
    <row r="20" spans="1:2" x14ac:dyDescent="0.25">
      <c r="A20" s="4" t="s">
        <v>104</v>
      </c>
      <c r="B20" s="4" t="s">
        <v>265</v>
      </c>
    </row>
    <row r="21" spans="1:2" x14ac:dyDescent="0.25">
      <c r="A21" s="4" t="s">
        <v>104</v>
      </c>
      <c r="B21" s="4" t="s">
        <v>266</v>
      </c>
    </row>
    <row r="22" spans="1:2" x14ac:dyDescent="0.25">
      <c r="A22" s="4" t="s">
        <v>104</v>
      </c>
      <c r="B22" s="4" t="s">
        <v>267</v>
      </c>
    </row>
    <row r="23" spans="1:2" x14ac:dyDescent="0.25">
      <c r="A23" s="4" t="s">
        <v>104</v>
      </c>
      <c r="B23" s="4" t="s">
        <v>124</v>
      </c>
    </row>
    <row r="24" spans="1:2" x14ac:dyDescent="0.25">
      <c r="A24" s="4" t="s">
        <v>104</v>
      </c>
      <c r="B24" s="4" t="s">
        <v>268</v>
      </c>
    </row>
    <row r="25" spans="1:2" x14ac:dyDescent="0.25">
      <c r="A25" s="4" t="s">
        <v>70</v>
      </c>
      <c r="B25" s="4" t="s">
        <v>269</v>
      </c>
    </row>
    <row r="26" spans="1:2" x14ac:dyDescent="0.25">
      <c r="A26" s="4" t="s">
        <v>70</v>
      </c>
      <c r="B26" s="4" t="s">
        <v>270</v>
      </c>
    </row>
    <row r="27" spans="1:2" x14ac:dyDescent="0.25">
      <c r="A27" s="4" t="s">
        <v>70</v>
      </c>
      <c r="B27" s="4" t="s">
        <v>71</v>
      </c>
    </row>
    <row r="28" spans="1:2" x14ac:dyDescent="0.25">
      <c r="A28" s="4" t="s">
        <v>74</v>
      </c>
      <c r="B28" s="4" t="s">
        <v>135</v>
      </c>
    </row>
    <row r="29" spans="1:2" x14ac:dyDescent="0.25">
      <c r="A29" s="4" t="s">
        <v>74</v>
      </c>
      <c r="B29" s="4" t="s">
        <v>75</v>
      </c>
    </row>
    <row r="30" spans="1:2" x14ac:dyDescent="0.25">
      <c r="A30" s="4" t="s">
        <v>74</v>
      </c>
      <c r="B30" s="4" t="s">
        <v>111</v>
      </c>
    </row>
    <row r="31" spans="1:2" x14ac:dyDescent="0.25">
      <c r="A31" s="4" t="s">
        <v>74</v>
      </c>
      <c r="B31" s="4" t="s">
        <v>271</v>
      </c>
    </row>
    <row r="32" spans="1:2" x14ac:dyDescent="0.25">
      <c r="A32" s="4" t="s">
        <v>74</v>
      </c>
      <c r="B32" s="4" t="s">
        <v>272</v>
      </c>
    </row>
    <row r="33" spans="1:2" x14ac:dyDescent="0.25">
      <c r="A33" s="4" t="s">
        <v>74</v>
      </c>
      <c r="B33" s="4" t="s">
        <v>274</v>
      </c>
    </row>
    <row r="34" spans="1:2" x14ac:dyDescent="0.25">
      <c r="A34" s="4" t="s">
        <v>74</v>
      </c>
      <c r="B34" s="4" t="s">
        <v>276</v>
      </c>
    </row>
    <row r="35" spans="1:2" x14ac:dyDescent="0.25">
      <c r="A35" s="4" t="s">
        <v>74</v>
      </c>
      <c r="B35" s="4" t="s">
        <v>88</v>
      </c>
    </row>
    <row r="36" spans="1:2" x14ac:dyDescent="0.25">
      <c r="A36" s="4" t="s">
        <v>74</v>
      </c>
      <c r="B36" s="4" t="s">
        <v>278</v>
      </c>
    </row>
    <row r="37" spans="1:2" x14ac:dyDescent="0.25">
      <c r="A37" s="4" t="s">
        <v>74</v>
      </c>
      <c r="B37" s="4" t="s">
        <v>287</v>
      </c>
    </row>
    <row r="38" spans="1:2" x14ac:dyDescent="0.25">
      <c r="A38" s="4" t="s">
        <v>74</v>
      </c>
      <c r="B38" s="4" t="s">
        <v>79</v>
      </c>
    </row>
    <row r="39" spans="1:2" x14ac:dyDescent="0.25">
      <c r="A39" s="4" t="s">
        <v>74</v>
      </c>
      <c r="B39" s="4" t="s">
        <v>288</v>
      </c>
    </row>
    <row r="40" spans="1:2" x14ac:dyDescent="0.25">
      <c r="A40" s="4" t="s">
        <v>74</v>
      </c>
      <c r="B40" s="4" t="s">
        <v>290</v>
      </c>
    </row>
    <row r="41" spans="1:2" x14ac:dyDescent="0.25">
      <c r="A41" s="4" t="s">
        <v>74</v>
      </c>
      <c r="B41" s="4" t="s">
        <v>292</v>
      </c>
    </row>
    <row r="42" spans="1:2" x14ac:dyDescent="0.25">
      <c r="A42" s="4" t="s">
        <v>74</v>
      </c>
      <c r="B42" s="4" t="s">
        <v>293</v>
      </c>
    </row>
    <row r="43" spans="1:2" x14ac:dyDescent="0.25">
      <c r="A43" s="4" t="s">
        <v>74</v>
      </c>
      <c r="B43" s="5" t="s">
        <v>295</v>
      </c>
    </row>
    <row r="44" spans="1:2" x14ac:dyDescent="0.25">
      <c r="A44" s="4" t="s">
        <v>74</v>
      </c>
      <c r="B44" s="4" t="s">
        <v>98</v>
      </c>
    </row>
    <row r="45" spans="1:2" x14ac:dyDescent="0.25">
      <c r="A45" s="4" t="s">
        <v>74</v>
      </c>
      <c r="B45" s="4" t="s">
        <v>297</v>
      </c>
    </row>
    <row r="46" spans="1:2" x14ac:dyDescent="0.25">
      <c r="A46" s="4" t="s">
        <v>74</v>
      </c>
      <c r="B46" s="4" t="s">
        <v>300</v>
      </c>
    </row>
    <row r="47" spans="1:2" x14ac:dyDescent="0.25">
      <c r="A47" s="4" t="s">
        <v>74</v>
      </c>
      <c r="B47" s="4" t="s">
        <v>301</v>
      </c>
    </row>
    <row r="48" spans="1:2" x14ac:dyDescent="0.25">
      <c r="A48" s="4" t="s">
        <v>74</v>
      </c>
      <c r="B48" s="4" t="s">
        <v>302</v>
      </c>
    </row>
    <row r="49" spans="1:2" x14ac:dyDescent="0.25">
      <c r="A49" s="4" t="s">
        <v>74</v>
      </c>
      <c r="B49" s="4" t="s">
        <v>304</v>
      </c>
    </row>
    <row r="50" spans="1:2" x14ac:dyDescent="0.25">
      <c r="A50" s="4" t="s">
        <v>74</v>
      </c>
      <c r="B50" s="4" t="s">
        <v>305</v>
      </c>
    </row>
    <row r="51" spans="1:2" x14ac:dyDescent="0.25">
      <c r="A51" s="4" t="s">
        <v>74</v>
      </c>
      <c r="B51" s="4" t="s">
        <v>92</v>
      </c>
    </row>
    <row r="52" spans="1:2" x14ac:dyDescent="0.25">
      <c r="A52" s="4" t="s">
        <v>74</v>
      </c>
      <c r="B52" s="4" t="s">
        <v>306</v>
      </c>
    </row>
    <row r="53" spans="1:2" x14ac:dyDescent="0.25">
      <c r="A53" s="4" t="s">
        <v>74</v>
      </c>
      <c r="B53" s="5" t="s">
        <v>308</v>
      </c>
    </row>
    <row r="54" spans="1:2" x14ac:dyDescent="0.25">
      <c r="A54" s="4" t="s">
        <v>74</v>
      </c>
      <c r="B54" s="4" t="s">
        <v>215</v>
      </c>
    </row>
    <row r="55" spans="1:2" x14ac:dyDescent="0.25">
      <c r="A55" s="4" t="s">
        <v>74</v>
      </c>
      <c r="B55" s="5" t="s">
        <v>310</v>
      </c>
    </row>
    <row r="56" spans="1:2" x14ac:dyDescent="0.25">
      <c r="A56" s="4" t="s">
        <v>74</v>
      </c>
      <c r="B56" s="4" t="s">
        <v>312</v>
      </c>
    </row>
    <row r="57" spans="1:2" x14ac:dyDescent="0.25">
      <c r="A57" s="4" t="s">
        <v>74</v>
      </c>
      <c r="B57" s="4" t="s">
        <v>313</v>
      </c>
    </row>
    <row r="58" spans="1:2" x14ac:dyDescent="0.25">
      <c r="A58" s="4" t="s">
        <v>74</v>
      </c>
      <c r="B58" s="4" t="s">
        <v>315</v>
      </c>
    </row>
    <row r="59" spans="1:2" x14ac:dyDescent="0.25">
      <c r="A59" s="4" t="s">
        <v>74</v>
      </c>
      <c r="B59" s="4" t="s">
        <v>316</v>
      </c>
    </row>
    <row r="60" spans="1:2" x14ac:dyDescent="0.25">
      <c r="A60" s="4" t="s">
        <v>74</v>
      </c>
      <c r="B60" s="4" t="s">
        <v>317</v>
      </c>
    </row>
    <row r="61" spans="1:2" x14ac:dyDescent="0.25">
      <c r="A61" s="4" t="s">
        <v>74</v>
      </c>
      <c r="B61" s="4" t="s">
        <v>319</v>
      </c>
    </row>
    <row r="62" spans="1:2" x14ac:dyDescent="0.25">
      <c r="A62" s="4" t="s">
        <v>74</v>
      </c>
      <c r="B62" s="4" t="s">
        <v>321</v>
      </c>
    </row>
    <row r="63" spans="1:2" x14ac:dyDescent="0.25">
      <c r="A63" s="4" t="s">
        <v>74</v>
      </c>
      <c r="B63" s="4" t="s">
        <v>323</v>
      </c>
    </row>
    <row r="64" spans="1:2" x14ac:dyDescent="0.25">
      <c r="A64" s="4" t="s">
        <v>74</v>
      </c>
      <c r="B64" s="4" t="s">
        <v>95</v>
      </c>
    </row>
    <row r="65" spans="1:2" x14ac:dyDescent="0.25">
      <c r="A65" s="4" t="s">
        <v>74</v>
      </c>
      <c r="B65" s="4" t="s">
        <v>324</v>
      </c>
    </row>
    <row r="66" spans="1:2" x14ac:dyDescent="0.25">
      <c r="A66" s="4" t="s">
        <v>74</v>
      </c>
      <c r="B66" s="4" t="s">
        <v>152</v>
      </c>
    </row>
    <row r="67" spans="1:2" x14ac:dyDescent="0.25">
      <c r="A67" s="4" t="s">
        <v>74</v>
      </c>
      <c r="B67" s="4" t="s">
        <v>326</v>
      </c>
    </row>
    <row r="68" spans="1:2" x14ac:dyDescent="0.25">
      <c r="A68" s="4" t="s">
        <v>74</v>
      </c>
      <c r="B68" s="4" t="s">
        <v>177</v>
      </c>
    </row>
    <row r="69" spans="1:2" x14ac:dyDescent="0.25">
      <c r="A69" s="4" t="s">
        <v>74</v>
      </c>
      <c r="B69" s="4" t="s">
        <v>85</v>
      </c>
    </row>
    <row r="70" spans="1:2" x14ac:dyDescent="0.25">
      <c r="A70" s="4" t="s">
        <v>74</v>
      </c>
      <c r="B70" s="4" t="s">
        <v>329</v>
      </c>
    </row>
    <row r="71" spans="1:2" x14ac:dyDescent="0.25">
      <c r="A71" s="4" t="s">
        <v>74</v>
      </c>
      <c r="B71" s="4" t="s">
        <v>330</v>
      </c>
    </row>
    <row r="72" spans="1:2" x14ac:dyDescent="0.25">
      <c r="A72" s="4" t="s">
        <v>74</v>
      </c>
      <c r="B72" s="4" t="s">
        <v>332</v>
      </c>
    </row>
    <row r="73" spans="1:2" x14ac:dyDescent="0.25">
      <c r="A73" s="4" t="s">
        <v>74</v>
      </c>
      <c r="B73" s="4" t="s">
        <v>333</v>
      </c>
    </row>
    <row r="74" spans="1:2" x14ac:dyDescent="0.25">
      <c r="A74" s="4" t="s">
        <v>74</v>
      </c>
      <c r="B74" s="4" t="s">
        <v>219</v>
      </c>
    </row>
    <row r="75" spans="1:2" x14ac:dyDescent="0.25">
      <c r="A75" s="4" t="s">
        <v>74</v>
      </c>
      <c r="B75" s="4" t="s">
        <v>336</v>
      </c>
    </row>
    <row r="76" spans="1:2" x14ac:dyDescent="0.25">
      <c r="A76" s="4" t="s">
        <v>74</v>
      </c>
      <c r="B76" s="4" t="s">
        <v>338</v>
      </c>
    </row>
    <row r="77" spans="1:2" x14ac:dyDescent="0.25">
      <c r="A77" s="4" t="s">
        <v>74</v>
      </c>
      <c r="B77" s="4" t="s">
        <v>339</v>
      </c>
    </row>
    <row r="78" spans="1:2" x14ac:dyDescent="0.25">
      <c r="A78" s="4" t="s">
        <v>74</v>
      </c>
      <c r="B78" s="4" t="s">
        <v>340</v>
      </c>
    </row>
    <row r="79" spans="1:2" x14ac:dyDescent="0.25">
      <c r="A79" s="4" t="s">
        <v>74</v>
      </c>
      <c r="B79" s="4" t="s">
        <v>342</v>
      </c>
    </row>
    <row r="80" spans="1:2" x14ac:dyDescent="0.25">
      <c r="A80" s="4" t="s">
        <v>74</v>
      </c>
      <c r="B80" s="4" t="s">
        <v>343</v>
      </c>
    </row>
    <row r="81" spans="1:2" x14ac:dyDescent="0.25">
      <c r="A81" s="4" t="s">
        <v>74</v>
      </c>
      <c r="B81" s="4" t="s">
        <v>345</v>
      </c>
    </row>
    <row r="82" spans="1:2" x14ac:dyDescent="0.25">
      <c r="A82" s="4" t="s">
        <v>74</v>
      </c>
      <c r="B82" s="4" t="s">
        <v>347</v>
      </c>
    </row>
    <row r="83" spans="1:2" x14ac:dyDescent="0.25">
      <c r="A83" s="4" t="s">
        <v>74</v>
      </c>
      <c r="B83" s="4" t="s">
        <v>348</v>
      </c>
    </row>
    <row r="84" spans="1:2" x14ac:dyDescent="0.25">
      <c r="A84" s="4" t="s">
        <v>74</v>
      </c>
      <c r="B84" s="4" t="s">
        <v>350</v>
      </c>
    </row>
    <row r="85" spans="1:2" x14ac:dyDescent="0.25">
      <c r="A85" s="4" t="s">
        <v>74</v>
      </c>
      <c r="B85" s="4" t="s">
        <v>351</v>
      </c>
    </row>
    <row r="86" spans="1:2" x14ac:dyDescent="0.25">
      <c r="A86" s="4" t="s">
        <v>74</v>
      </c>
      <c r="B86" s="4" t="s">
        <v>145</v>
      </c>
    </row>
    <row r="87" spans="1:2" x14ac:dyDescent="0.25">
      <c r="A87" s="4" t="s">
        <v>74</v>
      </c>
      <c r="B87" s="4" t="s">
        <v>352</v>
      </c>
    </row>
    <row r="88" spans="1:2" x14ac:dyDescent="0.25">
      <c r="A88" s="4" t="s">
        <v>74</v>
      </c>
      <c r="B88" s="4" t="s">
        <v>354</v>
      </c>
    </row>
    <row r="89" spans="1:2" x14ac:dyDescent="0.25">
      <c r="A89" s="4" t="s">
        <v>74</v>
      </c>
      <c r="B89" s="4" t="s">
        <v>355</v>
      </c>
    </row>
    <row r="90" spans="1:2" x14ac:dyDescent="0.25">
      <c r="A90" s="4" t="s">
        <v>74</v>
      </c>
      <c r="B90" s="4" t="s">
        <v>357</v>
      </c>
    </row>
    <row r="91" spans="1:2" x14ac:dyDescent="0.25">
      <c r="A91" s="4" t="s">
        <v>74</v>
      </c>
      <c r="B91" s="4" t="s">
        <v>108</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140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5F25KTUSNP4X-205032580-165487</_dlc_DocId>
    <_dlc_DocIdUrl xmlns="d65e48b5-f38d-431e-9b4f-47403bf4583f">
      <Url>https://rkas.sharepoint.com/Kliendisuhted/_layouts/15/DocIdRedir.aspx?ID=5F25KTUSNP4X-205032580-165487</Url>
      <Description>5F25KTUSNP4X-205032580-165487</Description>
    </_dlc_DocIdUrl>
    <lcf76f155ced4ddcb4097134ff3c332f xmlns="a4634551-c501-4e5e-ac96-dde1e0c9b252">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8E38717B-F367-47A4-B745-FE798DC0B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3DAC8-EC9A-47DE-8DAA-FAF9FAB2B75A}">
  <ds:schemaRefs>
    <ds:schemaRef ds:uri="d65e48b5-f38d-431e-9b4f-47403bf4583f"/>
    <ds:schemaRef ds:uri="http://purl.org/dc/dcmitype/"/>
    <ds:schemaRef ds:uri="http://schemas.openxmlformats.org/package/2006/metadata/core-properties"/>
    <ds:schemaRef ds:uri="4295b89e-2911-42f0-a767-8ca596d6842f"/>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a4634551-c501-4e5e-ac96-dde1e0c9b252"/>
    <ds:schemaRef ds:uri="http://schemas.microsoft.com/office/2006/metadata/properties"/>
  </ds:schemaRefs>
</ds:datastoreItem>
</file>

<file path=customXml/itemProps4.xml><?xml version="1.0" encoding="utf-8"?>
<ds:datastoreItem xmlns:ds="http://schemas.openxmlformats.org/officeDocument/2006/customXml" ds:itemID="{0C848B1A-18DE-4106-BB35-E807C92B880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Lisbeth Mikson</cp:lastModifiedBy>
  <cp:revision/>
  <dcterms:created xsi:type="dcterms:W3CDTF">2014-12-29T14:35:11Z</dcterms:created>
  <dcterms:modified xsi:type="dcterms:W3CDTF">2025-04-14T05:30:24Z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a6fac4e9-2636-496e-9ada-51ea4a53359e</vt:lpwstr>
  </property>
</Properties>
</file>